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K16" i="4" l="1"/>
  <c r="GK17" i="4"/>
  <c r="GK18" i="4"/>
  <c r="E16" i="2" l="1"/>
  <c r="E15" i="2"/>
  <c r="E14" i="2"/>
  <c r="E13" i="2"/>
  <c r="E12" i="2"/>
  <c r="E11" i="2"/>
  <c r="E10" i="2"/>
  <c r="E9" i="2"/>
  <c r="E8" i="2"/>
  <c r="E7" i="2" l="1"/>
  <c r="F6" i="2" l="1"/>
  <c r="D7" i="2" l="1"/>
  <c r="C7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D21" i="1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N11" i="4" s="1"/>
  <c r="CK15" i="4"/>
  <c r="CN15" i="4" s="1"/>
  <c r="CK13" i="4"/>
  <c r="CN13" i="4" s="1"/>
  <c r="CK10" i="4"/>
  <c r="CN10" i="4" s="1"/>
  <c r="CK18" i="4"/>
  <c r="CK12" i="4"/>
  <c r="CN12" i="4" s="1"/>
  <c r="CN18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W17" i="4"/>
  <c r="CZ17" i="4" s="1"/>
  <c r="CZ12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U9" i="4"/>
  <c r="DU12" i="4"/>
  <c r="DU15" i="4"/>
  <c r="DU18" i="4"/>
  <c r="DX18" i="4" s="1"/>
  <c r="DU17" i="4"/>
  <c r="DU14" i="4"/>
  <c r="DX14" i="4" s="1"/>
  <c r="DU16" i="4"/>
  <c r="DU10" i="4"/>
  <c r="DX9" i="4"/>
  <c r="DX10" i="4"/>
  <c r="DX16" i="4"/>
  <c r="DX13" i="4"/>
  <c r="DX17" i="4"/>
  <c r="DX12" i="4"/>
  <c r="DX15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I16" i="4"/>
  <c r="GJ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L11" i="4" l="1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<sst xmlns="http://schemas.openxmlformats.org/spreadsheetml/2006/main" count="1393" uniqueCount="202">
  <si>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</si>
  <si>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</si>
  <si>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</si>
  <si>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</si>
  <si>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</si>
  <si>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</si>
  <si>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</si>
  <si>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</si>
  <si>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</si>
  <si>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</si>
  <si>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</si>
  <si>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</si>
  <si>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</si>
  <si>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</si>
  <si>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</si>
  <si>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</si>
  <si>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</si>
  <si>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</si>
  <si>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</si>
  <si>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</si>
  <si>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</si>
  <si>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</si>
  <si>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</si>
  <si>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</si>
  <si>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</si>
  <si>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</si>
  <si>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</si>
  <si>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</si>
  <si>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</si>
  <si>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</si>
  <si>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</si>
  <si>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</si>
  <si>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</si>
  <si>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</si>
  <si>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</si>
  <si>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</si>
  <si>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</si>
  <si>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</si>
  <si>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</si>
  <si>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</si>
  <si>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</si>
  <si>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</si>
  <si>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</si>
  <si>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</si>
  <si>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</si>
  <si>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</si>
  <si>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</si>
  <si>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</si>
  <si>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</si>
  <si>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</si>
  <si>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</si>
  <si>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</si>
  <si>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</si>
  <si>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</si>
  <si>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</si>
  <si>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</si>
  <si>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</si>
  <si>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</si>
  <si>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</si>
  <si>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</si>
  <si>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</si>
  <si>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</si>
  <si>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</si>
  <si>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</si>
  <si>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</si>
  <si>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</si>
  <si>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</si>
  <si>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</si>
  <si>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</si>
  <si>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</si>
  <si>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</si>
  <si>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</si>
  <si>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</si>
  <si>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</si>
  <si>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</si>
  <si>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</si>
  <si>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</si>
  <si>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</si>
  <si>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</si>
  <si>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</si>
  <si>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</si>
  <si>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</si>
  <si>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</si>
  <si>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</si>
  <si>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</si>
  <si>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</si>
  <si>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</si>
  <si>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</si>
  <si>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</si>
  <si>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</si>
  <si>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</si>
  <si>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</si>
  <si>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</si>
  <si>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</si>
  <si>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</si>
  <si>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</si>
  <si>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</si>
  <si>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</si>
  <si>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</si>
  <si>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</si>
  <si>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</si>
  <si>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</si>
  <si>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</si>
  <si>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</si>
  <si>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</si>
  <si>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</si>
  <si>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</si>
  <si>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</si>
  <si>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</si>
  <si>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</si>
  <si>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</si>
  <si>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</si>
  <si>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</si>
  <si>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</si>
  <si>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</si>
  <si>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</si>
  <si>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</si>
  <si>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</si>
  <si>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</si>
  <si>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</si>
  <si>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</si>
  <si>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</si>
  <si>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</si>
  <si>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</si>
  <si>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</si>
  <si>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</si>
  <si>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</si>
  <si>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</si>
  <si>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</si>
  <si>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</si>
  <si>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</si>
  <si>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</si>
  <si>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</si>
  <si>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</si>
  <si>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</si>
  <si>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</si>
  <si>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</si>
  <si>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</si>
  <si>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</si>
  <si>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</si>
  <si>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</si>
  <si>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</si>
  <si>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</si>
  <si>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</si>
  <si>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</si>
  <si>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</si>
  <si>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</si>
  <si>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</si>
  <si>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</si>
  <si>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</si>
  <si>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</si>
  <si>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</si>
  <si>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</si>
  <si>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</si>
  <si>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</si>
  <si>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</si>
  <si>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</si>
  <si>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</si>
  <si>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</si>
  <si>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</si>
  <si>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</si>
  <si>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</si>
  <si>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</si>
  <si>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</si>
  <si>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</si>
  <si>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</si>
  <si>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</si>
  <si>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</si>
  <si>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</si>
  <si>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</si>
  <si>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</si>
  <si>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</si>
  <si>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</si>
  <si>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</si>
  <si>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</si>
  <si>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</si>
  <si>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</si>
  <si>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</si>
  <si>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</si>
  <si>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</si>
  <si>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</si>
  <si>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</si>
  <si>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</si>
  <si>
    <t>квадратные метры</t>
  </si>
  <si>
    <t>Корректировка</t>
  </si>
  <si>
    <t>на 01.01.2024</t>
  </si>
  <si>
    <t>2026 год</t>
  </si>
  <si>
    <t>Общая протяженность улиц, проездов, набережных,  на конец 2023 года (Рi)</t>
  </si>
  <si>
    <t>Количество  населенных пунктов  на 01.01.2024 года (Ni)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</si>
  <si>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2026 год</t>
  </si>
  <si>
    <t>Отапливаемая площадь внутренних помещений на 14.05.2024  года (Oi)</t>
  </si>
  <si>
    <t>Коэффициент дифференциации отапливаемой площади внутренних помещений                       (i -го поселения)</t>
  </si>
  <si>
    <t>Бюджет Богодуховского сельского поселения</t>
  </si>
  <si>
    <t>Бюджет Логиновского сельского поселения</t>
  </si>
  <si>
    <t>Бюджет Милоградовского сельского поселения</t>
  </si>
  <si>
    <t>Бюджет Нивского сельского поселения</t>
  </si>
  <si>
    <t>Бюджет Новоуральского сельского поселения</t>
  </si>
  <si>
    <t>Бюджет Тихвинского сельского поселения</t>
  </si>
  <si>
    <t>Бюджет Хорошковскогое сельского поселения</t>
  </si>
  <si>
    <t>Бюджет Южного сельского поселения</t>
  </si>
  <si>
    <t>Бюджет Юрьевскогое сельского поселения</t>
  </si>
  <si>
    <t>Бюджет Павлоградского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</si>
</sst>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6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18" fillId="39" borderId="78" xfId="0" applyFont="1" applyFill="1" applyBorder="1" applyAlignment="1">
      <alignment horizontal="center" vertical="center" wrapText="1"/>
    </xf>
    <xf numFmtId="0" fontId="31" fillId="39" borderId="14" xfId="0" applyFont="1" applyFill="1" applyBorder="1" applyAlignment="1">
      <alignment horizontal="center" vertical="center" wrapText="1"/>
    </xf>
    <xf numFmtId="0" fontId="22" fillId="40" borderId="14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18" fillId="0" borderId="11" xfId="0" applyNumberFormat="1" applyFont="1" applyFill="1" applyBorder="1" applyAlignment="1">
      <alignment horizontal="center" vertical="center"/>
    </xf>
    <xf numFmtId="2" fontId="18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tabSelected="1" view="pageBreakPreview" topLeftCell="A7" zoomScale="75" zoomScaleNormal="90" zoomScaleSheetLayoutView="75" workbookViewId="0">
      <selection activeCell="O18" sqref="O18"/>
    </sheetView>
  </sheetViews>
  <sheetFormatPr defaultRowHeight="15.75" x14ac:dyDescent="0.2"/>
  <cols>
    <col min="1" max="1" width="7.28515625" style="1" customWidth="1"/>
    <col min="2" max="2" width="35.855468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8.85546875" style="3" customWidth="1"/>
    <col min="7" max="7" width="20.7109375" style="3" customWidth="1"/>
    <col min="8" max="233" width="9.140625" style="1"/>
  </cols>
  <sheetData>
    <row r="2" spans="1:7" s="4" customFormat="1" ht="37.15" customHeight="1" x14ac:dyDescent="0.2">
      <c r="A2" s="201" t="s">
        <v>72</v>
      </c>
      <c r="B2" s="201"/>
      <c r="C2" s="201"/>
      <c r="D2" s="201"/>
      <c r="E2" s="201"/>
      <c r="F2" s="201"/>
      <c r="G2" s="201"/>
    </row>
    <row r="3" spans="1:7" s="4" customFormat="1" ht="16.5" x14ac:dyDescent="0.2">
      <c r="B3" s="194"/>
      <c r="C3" s="194"/>
      <c r="D3" s="194"/>
      <c r="E3" s="194"/>
      <c r="F3" s="194"/>
      <c r="G3" s="194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208" t="s">
        <v>0</v>
      </c>
      <c r="B5" s="195" t="s">
        <v>7</v>
      </c>
      <c r="C5" s="198" t="s">
        <v>56</v>
      </c>
      <c r="D5" s="199"/>
      <c r="E5" s="200"/>
      <c r="F5" s="200"/>
      <c r="G5" s="200"/>
    </row>
    <row r="6" spans="1:7" s="7" customFormat="1" ht="51.75" customHeight="1" x14ac:dyDescent="0.2">
      <c r="A6" s="209"/>
      <c r="B6" s="196"/>
      <c r="C6" s="90" t="s">
        <v>171</v>
      </c>
      <c r="D6" s="180" t="s">
        <v>62</v>
      </c>
      <c r="E6" s="202" t="s">
        <v>70</v>
      </c>
      <c r="F6" s="203"/>
      <c r="G6" s="204"/>
    </row>
    <row r="7" spans="1:7" s="7" customFormat="1" ht="19.5" customHeight="1" x14ac:dyDescent="0.2">
      <c r="A7" s="209"/>
      <c r="B7" s="196"/>
      <c r="C7" s="91" t="s">
        <v>185</v>
      </c>
      <c r="D7" s="181" t="s">
        <v>186</v>
      </c>
      <c r="E7" s="205"/>
      <c r="F7" s="206"/>
      <c r="G7" s="207"/>
    </row>
    <row r="8" spans="1:7" s="7" customFormat="1" ht="101.45" customHeight="1" thickBot="1" x14ac:dyDescent="0.25">
      <c r="A8" s="209"/>
      <c r="B8" s="197"/>
      <c r="C8" s="92" t="s">
        <v>1</v>
      </c>
      <c r="D8" s="92" t="s">
        <v>2</v>
      </c>
      <c r="E8" s="93" t="s">
        <v>187</v>
      </c>
      <c r="F8" s="94" t="s">
        <v>188</v>
      </c>
      <c r="G8" s="94" t="s">
        <v>190</v>
      </c>
    </row>
    <row r="9" spans="1:7" s="8" customFormat="1" thickBot="1" x14ac:dyDescent="0.25">
      <c r="A9" s="210"/>
      <c r="B9" s="58" t="s">
        <v>3</v>
      </c>
      <c r="C9" s="56" t="s">
        <v>5</v>
      </c>
      <c r="D9" s="56" t="s">
        <v>4</v>
      </c>
      <c r="E9" s="89" t="s">
        <v>173</v>
      </c>
      <c r="F9" s="89" t="s">
        <v>50</v>
      </c>
      <c r="G9" s="89" t="s">
        <v>183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44.25" customHeight="1" x14ac:dyDescent="0.3">
      <c r="A11" s="40">
        <v>1</v>
      </c>
      <c r="B11" s="167" t="s">
        <v>192</v>
      </c>
      <c r="C11" s="130">
        <v>1011</v>
      </c>
      <c r="D11" s="130">
        <v>1464020</v>
      </c>
      <c r="E11" s="135">
        <v>10.199999999999999</v>
      </c>
      <c r="F11" s="173">
        <v>1</v>
      </c>
      <c r="G11" s="169">
        <v>1081.4000000000001</v>
      </c>
    </row>
    <row r="12" spans="1:7" ht="37.5" x14ac:dyDescent="0.3">
      <c r="A12" s="41">
        <v>2</v>
      </c>
      <c r="B12" s="167" t="s">
        <v>193</v>
      </c>
      <c r="C12" s="131">
        <v>1145</v>
      </c>
      <c r="D12" s="131">
        <v>1883677</v>
      </c>
      <c r="E12" s="129">
        <v>18.100000000000001</v>
      </c>
      <c r="F12" s="174">
        <v>5</v>
      </c>
      <c r="G12" s="170">
        <v>2647.4</v>
      </c>
    </row>
    <row r="13" spans="1:7" ht="40.5" customHeight="1" x14ac:dyDescent="0.3">
      <c r="A13" s="41">
        <v>3</v>
      </c>
      <c r="B13" s="167" t="s">
        <v>194</v>
      </c>
      <c r="C13" s="131">
        <v>709</v>
      </c>
      <c r="D13" s="131">
        <v>504434</v>
      </c>
      <c r="E13" s="129">
        <v>11.9</v>
      </c>
      <c r="F13" s="174">
        <v>2</v>
      </c>
      <c r="G13" s="170">
        <v>1398.7</v>
      </c>
    </row>
    <row r="14" spans="1:7" ht="37.5" x14ac:dyDescent="0.3">
      <c r="A14" s="41">
        <v>4</v>
      </c>
      <c r="B14" s="167" t="s">
        <v>195</v>
      </c>
      <c r="C14" s="131">
        <v>1059</v>
      </c>
      <c r="D14" s="131">
        <v>3818342</v>
      </c>
      <c r="E14" s="129">
        <v>15.3</v>
      </c>
      <c r="F14" s="174">
        <v>4</v>
      </c>
      <c r="G14" s="170">
        <v>1038.2</v>
      </c>
    </row>
    <row r="15" spans="1:7" ht="42" customHeight="1" x14ac:dyDescent="0.3">
      <c r="A15" s="41">
        <v>5</v>
      </c>
      <c r="B15" s="167" t="s">
        <v>196</v>
      </c>
      <c r="C15" s="131">
        <v>1128</v>
      </c>
      <c r="D15" s="131">
        <v>2340726</v>
      </c>
      <c r="E15" s="129">
        <v>21.8</v>
      </c>
      <c r="F15" s="174">
        <v>5</v>
      </c>
      <c r="G15" s="170">
        <v>1423.1</v>
      </c>
    </row>
    <row r="16" spans="1:7" ht="37.5" x14ac:dyDescent="0.3">
      <c r="A16" s="41">
        <v>6</v>
      </c>
      <c r="B16" s="167" t="s">
        <v>197</v>
      </c>
      <c r="C16" s="131">
        <v>1088</v>
      </c>
      <c r="D16" s="131">
        <v>2322723</v>
      </c>
      <c r="E16" s="129">
        <v>16.2</v>
      </c>
      <c r="F16" s="174">
        <v>4</v>
      </c>
      <c r="G16" s="170">
        <v>1014.7</v>
      </c>
    </row>
    <row r="17" spans="1:7" ht="42" customHeight="1" x14ac:dyDescent="0.3">
      <c r="A17" s="41">
        <v>7</v>
      </c>
      <c r="B17" s="167" t="s">
        <v>198</v>
      </c>
      <c r="C17" s="131">
        <v>1641</v>
      </c>
      <c r="D17" s="131">
        <v>2544688</v>
      </c>
      <c r="E17" s="129">
        <v>19.399999999999999</v>
      </c>
      <c r="F17" s="174">
        <v>4</v>
      </c>
      <c r="G17" s="170">
        <v>2042.7</v>
      </c>
    </row>
    <row r="18" spans="1:7" ht="37.5" x14ac:dyDescent="0.3">
      <c r="A18" s="41">
        <v>8</v>
      </c>
      <c r="B18" s="167" t="s">
        <v>199</v>
      </c>
      <c r="C18" s="132">
        <v>1169</v>
      </c>
      <c r="D18" s="132">
        <v>1962468</v>
      </c>
      <c r="E18" s="129">
        <v>18.8</v>
      </c>
      <c r="F18" s="174">
        <v>4</v>
      </c>
      <c r="G18" s="170">
        <v>1745.6</v>
      </c>
    </row>
    <row r="19" spans="1:7" ht="37.5" x14ac:dyDescent="0.3">
      <c r="A19" s="41">
        <v>9</v>
      </c>
      <c r="B19" s="167" t="s">
        <v>200</v>
      </c>
      <c r="C19" s="133">
        <v>1259</v>
      </c>
      <c r="D19" s="133">
        <v>2886114</v>
      </c>
      <c r="E19" s="129">
        <v>19.899999999999999</v>
      </c>
      <c r="F19" s="174">
        <v>3</v>
      </c>
      <c r="G19" s="170">
        <v>1351.5</v>
      </c>
    </row>
    <row r="20" spans="1:7" ht="41.25" customHeight="1" thickBot="1" x14ac:dyDescent="0.35">
      <c r="A20" s="41">
        <v>10</v>
      </c>
      <c r="B20" s="167" t="s">
        <v>201</v>
      </c>
      <c r="C20" s="134">
        <v>7264</v>
      </c>
      <c r="D20" s="134">
        <v>18951483</v>
      </c>
      <c r="E20" s="176">
        <v>52</v>
      </c>
      <c r="F20" s="175">
        <v>1</v>
      </c>
      <c r="G20" s="171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17473</v>
      </c>
      <c r="D21" s="21">
        <f>SUM(D11:D20)</f>
        <v>38678675</v>
      </c>
      <c r="E21" s="22">
        <f>SUM(E11:E20)</f>
        <v>203.60000000000002</v>
      </c>
      <c r="F21" s="21">
        <f>SUM(F11:F20)</f>
        <v>33</v>
      </c>
      <c r="G21" s="172">
        <f>SUM(G11:G20)</f>
        <v>14056.400000000001</v>
      </c>
    </row>
  </sheetData>
  <sheetProtection selectLockedCells="1" selectUnlockedCells="1"/>
  <protectedRanges>
    <protectedRange sqref="B11:B20" name="Диапазон3_1_1_2"/>
    <protectedRange sqref="B11:B20" name="Диапазон2_1_1_2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0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10" zoomScaleNormal="110" workbookViewId="0">
      <selection activeCell="A18" sqref="A18:F18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71093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1" t="s">
        <v>63</v>
      </c>
      <c r="B2" s="211"/>
      <c r="C2" s="211"/>
      <c r="D2" s="211"/>
      <c r="E2" s="211"/>
      <c r="F2" s="211"/>
    </row>
    <row r="3" spans="1:7" ht="16.5" thickBot="1" x14ac:dyDescent="0.25">
      <c r="B3" s="12"/>
    </row>
    <row r="4" spans="1:7" s="7" customFormat="1" ht="112.9" customHeight="1" thickBot="1" x14ac:dyDescent="0.25">
      <c r="A4" s="212" t="s">
        <v>0</v>
      </c>
      <c r="B4" s="212" t="s">
        <v>61</v>
      </c>
      <c r="C4" s="86" t="s">
        <v>179</v>
      </c>
      <c r="D4" s="86" t="s">
        <v>180</v>
      </c>
      <c r="E4" s="86" t="s">
        <v>191</v>
      </c>
      <c r="F4" s="177" t="s">
        <v>181</v>
      </c>
    </row>
    <row r="5" spans="1:7" s="13" customFormat="1" ht="45.75" customHeight="1" thickBot="1" x14ac:dyDescent="0.25">
      <c r="A5" s="213"/>
      <c r="B5" s="213"/>
      <c r="C5" s="87" t="s">
        <v>175</v>
      </c>
      <c r="D5" s="87" t="s">
        <v>174</v>
      </c>
      <c r="E5" s="178" t="s">
        <v>176</v>
      </c>
      <c r="F5" s="179" t="s">
        <v>182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88">
        <f>6</f>
        <v>6</v>
      </c>
    </row>
    <row r="7" spans="1:7" ht="29.25" thickBot="1" x14ac:dyDescent="0.25">
      <c r="A7" s="136">
        <v>1</v>
      </c>
      <c r="B7" s="168" t="s">
        <v>192</v>
      </c>
      <c r="C7" s="138">
        <f>1+'Исходные данные'!E11/'Исходные данные'!$E$20</f>
        <v>1.1961538461538461</v>
      </c>
      <c r="D7" s="138">
        <f>1+'Исходные данные'!F11/'Исходные данные'!$F$12</f>
        <v>1.2</v>
      </c>
      <c r="E7" s="138">
        <f>1+'Исходные данные'!G11/'Исходные данные'!$G$12</f>
        <v>1.4084762408400695</v>
      </c>
      <c r="F7" s="137">
        <f>C7+D7+E7</f>
        <v>3.8046300869939156</v>
      </c>
      <c r="G7" s="18"/>
    </row>
    <row r="8" spans="1:7" s="15" customFormat="1" ht="29.25" thickBot="1" x14ac:dyDescent="0.25">
      <c r="A8" s="84">
        <v>2</v>
      </c>
      <c r="B8" s="168" t="s">
        <v>193</v>
      </c>
      <c r="C8" s="138">
        <f>1+'Исходные данные'!E12/'Исходные данные'!$E$20</f>
        <v>1.3480769230769232</v>
      </c>
      <c r="D8" s="138">
        <f>1+'Исходные данные'!F12/'Исходные данные'!$F$12</f>
        <v>2</v>
      </c>
      <c r="E8" s="138">
        <f>1+'Исходные данные'!G12/'Исходные данные'!$G$12</f>
        <v>2</v>
      </c>
      <c r="F8" s="137">
        <f t="shared" ref="F8:F16" si="1">C8+D8+E8</f>
        <v>5.3480769230769232</v>
      </c>
      <c r="G8" s="18"/>
    </row>
    <row r="9" spans="1:7" s="15" customFormat="1" ht="29.25" thickBot="1" x14ac:dyDescent="0.25">
      <c r="A9" s="85">
        <v>3</v>
      </c>
      <c r="B9" s="168" t="s">
        <v>194</v>
      </c>
      <c r="C9" s="138">
        <f>1+'Исходные данные'!E13/'Исходные данные'!$E$20</f>
        <v>1.2288461538461539</v>
      </c>
      <c r="D9" s="138">
        <f>1+'Исходные данные'!F13/'Исходные данные'!$F$12</f>
        <v>1.4</v>
      </c>
      <c r="E9" s="138">
        <f>1+'Исходные данные'!G13/'Исходные данные'!$G$12</f>
        <v>1.5283296819521039</v>
      </c>
      <c r="F9" s="137">
        <f t="shared" si="1"/>
        <v>4.1571758357982578</v>
      </c>
      <c r="G9" s="18"/>
    </row>
    <row r="10" spans="1:7" s="15" customFormat="1" ht="29.25" thickBot="1" x14ac:dyDescent="0.25">
      <c r="A10" s="84">
        <v>4</v>
      </c>
      <c r="B10" s="168" t="s">
        <v>195</v>
      </c>
      <c r="C10" s="138">
        <f>1+'Исходные данные'!E14/'Исходные данные'!$E$20</f>
        <v>1.2942307692307693</v>
      </c>
      <c r="D10" s="138">
        <f>1+'Исходные данные'!F14/'Исходные данные'!$F$12</f>
        <v>1.8</v>
      </c>
      <c r="E10" s="138">
        <f>1+'Исходные данные'!G14/'Исходные данные'!$G$12</f>
        <v>1.3921583440356575</v>
      </c>
      <c r="F10" s="137">
        <f t="shared" si="1"/>
        <v>4.4863891132664264</v>
      </c>
      <c r="G10" s="18"/>
    </row>
    <row r="11" spans="1:7" s="15" customFormat="1" ht="29.25" thickBot="1" x14ac:dyDescent="0.25">
      <c r="A11" s="85">
        <v>5</v>
      </c>
      <c r="B11" s="168" t="s">
        <v>196</v>
      </c>
      <c r="C11" s="138">
        <f>1+'Исходные данные'!E15/'Исходные данные'!$E$20</f>
        <v>1.4192307692307693</v>
      </c>
      <c r="D11" s="138">
        <f>1+'Исходные данные'!F15/'Исходные данные'!$F$12</f>
        <v>2</v>
      </c>
      <c r="E11" s="138">
        <f>1+'Исходные данные'!G15/'Исходные данные'!$G$12</f>
        <v>1.5375462718138551</v>
      </c>
      <c r="F11" s="137">
        <f t="shared" si="1"/>
        <v>4.9567770410446244</v>
      </c>
      <c r="G11" s="18"/>
    </row>
    <row r="12" spans="1:7" s="15" customFormat="1" ht="29.25" thickBot="1" x14ac:dyDescent="0.25">
      <c r="A12" s="84">
        <v>6</v>
      </c>
      <c r="B12" s="168" t="s">
        <v>197</v>
      </c>
      <c r="C12" s="138">
        <f>1+'Исходные данные'!E16/'Исходные данные'!$E$20</f>
        <v>1.3115384615384615</v>
      </c>
      <c r="D12" s="138">
        <f>1+'Исходные данные'!F16/'Исходные данные'!$F$12</f>
        <v>1.8</v>
      </c>
      <c r="E12" s="138">
        <f>1+'Исходные данные'!G16/'Исходные данные'!$G$12</f>
        <v>1.3832817103573318</v>
      </c>
      <c r="F12" s="137">
        <f t="shared" si="1"/>
        <v>4.4948201718957934</v>
      </c>
      <c r="G12" s="18"/>
    </row>
    <row r="13" spans="1:7" s="15" customFormat="1" ht="29.25" thickBot="1" x14ac:dyDescent="0.25">
      <c r="A13" s="85">
        <v>7</v>
      </c>
      <c r="B13" s="168" t="s">
        <v>198</v>
      </c>
      <c r="C13" s="138">
        <f>1+'Исходные данные'!E17/'Исходные данные'!$E$20</f>
        <v>1.3730769230769231</v>
      </c>
      <c r="D13" s="138">
        <f>1+'Исходные данные'!F17/'Исходные данные'!$F$12</f>
        <v>1.8</v>
      </c>
      <c r="E13" s="138">
        <f>1+'Исходные данные'!G17/'Исходные данные'!$G$12</f>
        <v>1.7715872176475032</v>
      </c>
      <c r="F13" s="137">
        <f t="shared" si="1"/>
        <v>4.9446641407244263</v>
      </c>
      <c r="G13" s="18"/>
    </row>
    <row r="14" spans="1:7" s="15" customFormat="1" ht="29.25" thickBot="1" x14ac:dyDescent="0.25">
      <c r="A14" s="84">
        <v>8</v>
      </c>
      <c r="B14" s="168" t="s">
        <v>199</v>
      </c>
      <c r="C14" s="138">
        <f>1+'Исходные данные'!E18/'Исходные данные'!$E$20</f>
        <v>1.3615384615384616</v>
      </c>
      <c r="D14" s="138">
        <f>1+'Исходные данные'!F18/'Исходные данные'!$F$12</f>
        <v>1.8</v>
      </c>
      <c r="E14" s="138">
        <f>1+'Исходные данные'!G18/'Исходные данные'!$G$12</f>
        <v>1.659363904207902</v>
      </c>
      <c r="F14" s="137">
        <f t="shared" si="1"/>
        <v>4.8209023657463641</v>
      </c>
      <c r="G14" s="18"/>
    </row>
    <row r="15" spans="1:7" s="15" customFormat="1" ht="29.25" thickBot="1" x14ac:dyDescent="0.25">
      <c r="A15" s="85">
        <v>9</v>
      </c>
      <c r="B15" s="168" t="s">
        <v>200</v>
      </c>
      <c r="C15" s="138">
        <f>1+'Исходные данные'!E19/'Исходные данные'!$E$20</f>
        <v>1.3826923076923077</v>
      </c>
      <c r="D15" s="138">
        <f>1+'Исходные данные'!F19/'Исходные данные'!$F$12</f>
        <v>1.6</v>
      </c>
      <c r="E15" s="138">
        <f>1+'Исходные данные'!G19/'Исходные данные'!$G$12</f>
        <v>1.510500868776913</v>
      </c>
      <c r="F15" s="137">
        <f t="shared" si="1"/>
        <v>4.4931931764692212</v>
      </c>
      <c r="G15" s="18"/>
    </row>
    <row r="16" spans="1:7" s="15" customFormat="1" ht="28.5" x14ac:dyDescent="0.2">
      <c r="A16" s="84">
        <v>10</v>
      </c>
      <c r="B16" s="168" t="s">
        <v>201</v>
      </c>
      <c r="C16" s="138">
        <f>1+'Исходные данные'!E20/'Исходные данные'!$E$20</f>
        <v>2</v>
      </c>
      <c r="D16" s="138">
        <f>1+'Исходные данные'!F20/'Исходные данные'!$F$12</f>
        <v>1.2</v>
      </c>
      <c r="E16" s="138">
        <f>1+'Исходные данные'!G20/'Исходные данные'!$G$12</f>
        <v>1.1182669789227166</v>
      </c>
      <c r="F16" s="137">
        <f t="shared" si="1"/>
        <v>4.3182669789227166</v>
      </c>
      <c r="G16" s="18"/>
    </row>
    <row r="18" spans="1:6" ht="116.25" customHeight="1" x14ac:dyDescent="0.2">
      <c r="A18" s="214"/>
      <c r="B18" s="214"/>
      <c r="C18" s="214"/>
      <c r="D18" s="214"/>
      <c r="E18" s="214"/>
      <c r="F18" s="214"/>
    </row>
  </sheetData>
  <sheetProtection selectLockedCells="1" selectUnlockedCells="1"/>
  <protectedRanges>
    <protectedRange sqref="B7:B16" name="Диапазон3_1_1_2"/>
    <protectedRange sqref="B7:B16" name="Диапазон2_1_1_2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topLeftCell="FP1" zoomScale="60" zoomScaleNormal="60" workbookViewId="0">
      <pane xSplit="24225" topLeftCell="GN1"/>
      <selection activeCell="GK16" sqref="GK1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1" style="16" customWidth="1"/>
    <col min="196" max="16384" width="15.28515625" style="16"/>
  </cols>
  <sheetData>
    <row r="1" spans="1:195" s="17" customFormat="1" ht="22.5" customHeight="1" x14ac:dyDescent="0.2">
      <c r="A1" s="261" t="s">
        <v>189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118"/>
      <c r="S1" s="118"/>
    </row>
    <row r="2" spans="1:195" s="5" customFormat="1" ht="16.5" thickBot="1" x14ac:dyDescent="0.25"/>
    <row r="3" spans="1:195" s="36" customFormat="1" ht="34.5" customHeight="1" thickBot="1" x14ac:dyDescent="0.25">
      <c r="A3" s="230" t="s">
        <v>7</v>
      </c>
      <c r="B3" s="233" t="s">
        <v>58</v>
      </c>
      <c r="C3" s="236" t="s">
        <v>9</v>
      </c>
      <c r="D3" s="237"/>
      <c r="E3" s="237"/>
      <c r="F3" s="238"/>
      <c r="G3" s="247" t="s">
        <v>59</v>
      </c>
      <c r="H3" s="248"/>
      <c r="I3" s="248"/>
      <c r="J3" s="249"/>
      <c r="K3" s="255" t="s">
        <v>78</v>
      </c>
      <c r="L3" s="69" t="s">
        <v>51</v>
      </c>
      <c r="M3" s="252" t="s">
        <v>75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4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215" t="s">
        <v>79</v>
      </c>
      <c r="GK3" s="223" t="s">
        <v>80</v>
      </c>
      <c r="GL3" s="218" t="s">
        <v>77</v>
      </c>
      <c r="GM3" s="258" t="s">
        <v>184</v>
      </c>
    </row>
    <row r="4" spans="1:195" s="26" customFormat="1" ht="29.25" customHeight="1" x14ac:dyDescent="0.2">
      <c r="A4" s="231"/>
      <c r="B4" s="234"/>
      <c r="C4" s="241" t="s">
        <v>10</v>
      </c>
      <c r="D4" s="242"/>
      <c r="E4" s="241" t="s">
        <v>11</v>
      </c>
      <c r="F4" s="242"/>
      <c r="G4" s="243" t="s">
        <v>172</v>
      </c>
      <c r="H4" s="221" t="s">
        <v>12</v>
      </c>
      <c r="I4" s="221" t="s">
        <v>64</v>
      </c>
      <c r="J4" s="250" t="s">
        <v>67</v>
      </c>
      <c r="K4" s="256"/>
      <c r="L4" s="245" t="s">
        <v>178</v>
      </c>
      <c r="M4" s="226" t="s">
        <v>13</v>
      </c>
      <c r="N4" s="227"/>
      <c r="O4" s="227"/>
      <c r="P4" s="227"/>
      <c r="Q4" s="228"/>
      <c r="R4" s="226" t="s">
        <v>14</v>
      </c>
      <c r="S4" s="227"/>
      <c r="T4" s="227"/>
      <c r="U4" s="227"/>
      <c r="V4" s="227"/>
      <c r="W4" s="228"/>
      <c r="X4" s="226" t="s">
        <v>15</v>
      </c>
      <c r="Y4" s="227"/>
      <c r="Z4" s="227"/>
      <c r="AA4" s="227"/>
      <c r="AB4" s="227"/>
      <c r="AC4" s="228"/>
      <c r="AD4" s="226" t="s">
        <v>16</v>
      </c>
      <c r="AE4" s="227"/>
      <c r="AF4" s="227"/>
      <c r="AG4" s="227"/>
      <c r="AH4" s="227"/>
      <c r="AI4" s="228"/>
      <c r="AJ4" s="226" t="s">
        <v>17</v>
      </c>
      <c r="AK4" s="227"/>
      <c r="AL4" s="227"/>
      <c r="AM4" s="227"/>
      <c r="AN4" s="227"/>
      <c r="AO4" s="228"/>
      <c r="AP4" s="226" t="s">
        <v>18</v>
      </c>
      <c r="AQ4" s="227"/>
      <c r="AR4" s="227"/>
      <c r="AS4" s="227"/>
      <c r="AT4" s="227"/>
      <c r="AU4" s="228"/>
      <c r="AV4" s="226" t="s">
        <v>19</v>
      </c>
      <c r="AW4" s="227"/>
      <c r="AX4" s="227"/>
      <c r="AY4" s="227"/>
      <c r="AZ4" s="227"/>
      <c r="BA4" s="228"/>
      <c r="BB4" s="226" t="s">
        <v>20</v>
      </c>
      <c r="BC4" s="227"/>
      <c r="BD4" s="227"/>
      <c r="BE4" s="227"/>
      <c r="BF4" s="227"/>
      <c r="BG4" s="228"/>
      <c r="BH4" s="226" t="s">
        <v>21</v>
      </c>
      <c r="BI4" s="227"/>
      <c r="BJ4" s="227"/>
      <c r="BK4" s="227"/>
      <c r="BL4" s="227"/>
      <c r="BM4" s="228"/>
      <c r="BN4" s="226" t="s">
        <v>22</v>
      </c>
      <c r="BO4" s="227"/>
      <c r="BP4" s="227"/>
      <c r="BQ4" s="227"/>
      <c r="BR4" s="227"/>
      <c r="BS4" s="229"/>
      <c r="BT4" s="226" t="s">
        <v>82</v>
      </c>
      <c r="BU4" s="227"/>
      <c r="BV4" s="227"/>
      <c r="BW4" s="227"/>
      <c r="BX4" s="227"/>
      <c r="BY4" s="229"/>
      <c r="BZ4" s="226" t="s">
        <v>85</v>
      </c>
      <c r="CA4" s="227"/>
      <c r="CB4" s="227"/>
      <c r="CC4" s="227"/>
      <c r="CD4" s="227"/>
      <c r="CE4" s="229"/>
      <c r="CF4" s="226" t="s">
        <v>86</v>
      </c>
      <c r="CG4" s="227"/>
      <c r="CH4" s="227"/>
      <c r="CI4" s="227"/>
      <c r="CJ4" s="227"/>
      <c r="CK4" s="229"/>
      <c r="CL4" s="226" t="s">
        <v>91</v>
      </c>
      <c r="CM4" s="227"/>
      <c r="CN4" s="227"/>
      <c r="CO4" s="227"/>
      <c r="CP4" s="227"/>
      <c r="CQ4" s="229"/>
      <c r="CR4" s="226" t="s">
        <v>94</v>
      </c>
      <c r="CS4" s="227"/>
      <c r="CT4" s="227"/>
      <c r="CU4" s="227"/>
      <c r="CV4" s="227"/>
      <c r="CW4" s="229"/>
      <c r="CX4" s="226" t="s">
        <v>97</v>
      </c>
      <c r="CY4" s="227"/>
      <c r="CZ4" s="227"/>
      <c r="DA4" s="227"/>
      <c r="DB4" s="227"/>
      <c r="DC4" s="229"/>
      <c r="DD4" s="226" t="s">
        <v>100</v>
      </c>
      <c r="DE4" s="227"/>
      <c r="DF4" s="227"/>
      <c r="DG4" s="227"/>
      <c r="DH4" s="227"/>
      <c r="DI4" s="229"/>
      <c r="DJ4" s="226" t="s">
        <v>103</v>
      </c>
      <c r="DK4" s="227"/>
      <c r="DL4" s="227"/>
      <c r="DM4" s="227"/>
      <c r="DN4" s="227"/>
      <c r="DO4" s="229"/>
      <c r="DP4" s="226" t="s">
        <v>106</v>
      </c>
      <c r="DQ4" s="227"/>
      <c r="DR4" s="227"/>
      <c r="DS4" s="227"/>
      <c r="DT4" s="227"/>
      <c r="DU4" s="229"/>
      <c r="DV4" s="226" t="s">
        <v>109</v>
      </c>
      <c r="DW4" s="227"/>
      <c r="DX4" s="227"/>
      <c r="DY4" s="227"/>
      <c r="DZ4" s="227"/>
      <c r="EA4" s="229"/>
      <c r="EB4" s="226" t="s">
        <v>131</v>
      </c>
      <c r="EC4" s="227"/>
      <c r="ED4" s="227"/>
      <c r="EE4" s="227"/>
      <c r="EF4" s="227"/>
      <c r="EG4" s="229"/>
      <c r="EH4" s="226" t="s">
        <v>135</v>
      </c>
      <c r="EI4" s="227"/>
      <c r="EJ4" s="227"/>
      <c r="EK4" s="227"/>
      <c r="EL4" s="227"/>
      <c r="EM4" s="229"/>
      <c r="EN4" s="226" t="s">
        <v>139</v>
      </c>
      <c r="EO4" s="227"/>
      <c r="EP4" s="227"/>
      <c r="EQ4" s="227"/>
      <c r="ER4" s="227"/>
      <c r="ES4" s="229"/>
      <c r="ET4" s="226" t="s">
        <v>143</v>
      </c>
      <c r="EU4" s="227"/>
      <c r="EV4" s="227"/>
      <c r="EW4" s="227"/>
      <c r="EX4" s="227"/>
      <c r="EY4" s="229"/>
      <c r="EZ4" s="226" t="s">
        <v>147</v>
      </c>
      <c r="FA4" s="227"/>
      <c r="FB4" s="227"/>
      <c r="FC4" s="227"/>
      <c r="FD4" s="227"/>
      <c r="FE4" s="229"/>
      <c r="FF4" s="226" t="s">
        <v>151</v>
      </c>
      <c r="FG4" s="227"/>
      <c r="FH4" s="227"/>
      <c r="FI4" s="227"/>
      <c r="FJ4" s="227"/>
      <c r="FK4" s="229"/>
      <c r="FL4" s="226" t="s">
        <v>155</v>
      </c>
      <c r="FM4" s="227"/>
      <c r="FN4" s="227"/>
      <c r="FO4" s="227"/>
      <c r="FP4" s="227"/>
      <c r="FQ4" s="229"/>
      <c r="FR4" s="226" t="s">
        <v>159</v>
      </c>
      <c r="FS4" s="227"/>
      <c r="FT4" s="227"/>
      <c r="FU4" s="227"/>
      <c r="FV4" s="227"/>
      <c r="FW4" s="229"/>
      <c r="FX4" s="226" t="s">
        <v>163</v>
      </c>
      <c r="FY4" s="227"/>
      <c r="FZ4" s="227"/>
      <c r="GA4" s="227"/>
      <c r="GB4" s="227"/>
      <c r="GC4" s="229"/>
      <c r="GD4" s="226" t="s">
        <v>166</v>
      </c>
      <c r="GE4" s="227"/>
      <c r="GF4" s="227"/>
      <c r="GG4" s="227"/>
      <c r="GH4" s="227"/>
      <c r="GI4" s="229"/>
      <c r="GJ4" s="216"/>
      <c r="GK4" s="224"/>
      <c r="GL4" s="219"/>
      <c r="GM4" s="259"/>
    </row>
    <row r="5" spans="1:195" s="26" customFormat="1" ht="246" customHeight="1" thickBot="1" x14ac:dyDescent="0.25">
      <c r="A5" s="231"/>
      <c r="B5" s="235"/>
      <c r="C5" s="239" t="s">
        <v>177</v>
      </c>
      <c r="D5" s="240"/>
      <c r="E5" s="239" t="s">
        <v>73</v>
      </c>
      <c r="F5" s="240"/>
      <c r="G5" s="244"/>
      <c r="H5" s="222"/>
      <c r="I5" s="222"/>
      <c r="J5" s="251"/>
      <c r="K5" s="257"/>
      <c r="L5" s="246"/>
      <c r="M5" s="66" t="s">
        <v>57</v>
      </c>
      <c r="N5" s="126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6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6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6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6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6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6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6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6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6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6" t="s">
        <v>112</v>
      </c>
      <c r="BV5" s="124" t="s">
        <v>57</v>
      </c>
      <c r="BW5" s="124" t="s">
        <v>65</v>
      </c>
      <c r="BX5" s="124" t="s">
        <v>76</v>
      </c>
      <c r="BY5" s="125" t="s">
        <v>84</v>
      </c>
      <c r="BZ5" s="66" t="s">
        <v>87</v>
      </c>
      <c r="CA5" s="126" t="s">
        <v>113</v>
      </c>
      <c r="CB5" s="124" t="s">
        <v>57</v>
      </c>
      <c r="CC5" s="124" t="s">
        <v>65</v>
      </c>
      <c r="CD5" s="124" t="s">
        <v>76</v>
      </c>
      <c r="CE5" s="125" t="s">
        <v>88</v>
      </c>
      <c r="CF5" s="66" t="s">
        <v>89</v>
      </c>
      <c r="CG5" s="126" t="s">
        <v>114</v>
      </c>
      <c r="CH5" s="124" t="s">
        <v>57</v>
      </c>
      <c r="CI5" s="124" t="s">
        <v>65</v>
      </c>
      <c r="CJ5" s="124" t="s">
        <v>76</v>
      </c>
      <c r="CK5" s="125" t="s">
        <v>90</v>
      </c>
      <c r="CL5" s="66" t="s">
        <v>92</v>
      </c>
      <c r="CM5" s="126" t="s">
        <v>115</v>
      </c>
      <c r="CN5" s="124" t="s">
        <v>57</v>
      </c>
      <c r="CO5" s="124" t="s">
        <v>65</v>
      </c>
      <c r="CP5" s="124" t="s">
        <v>76</v>
      </c>
      <c r="CQ5" s="125" t="s">
        <v>93</v>
      </c>
      <c r="CR5" s="66" t="s">
        <v>95</v>
      </c>
      <c r="CS5" s="126" t="s">
        <v>116</v>
      </c>
      <c r="CT5" s="124" t="s">
        <v>57</v>
      </c>
      <c r="CU5" s="124" t="s">
        <v>65</v>
      </c>
      <c r="CV5" s="124" t="s">
        <v>76</v>
      </c>
      <c r="CW5" s="125" t="s">
        <v>96</v>
      </c>
      <c r="CX5" s="66" t="s">
        <v>98</v>
      </c>
      <c r="CY5" s="126" t="s">
        <v>117</v>
      </c>
      <c r="CZ5" s="124" t="s">
        <v>57</v>
      </c>
      <c r="DA5" s="124" t="s">
        <v>65</v>
      </c>
      <c r="DB5" s="124" t="s">
        <v>76</v>
      </c>
      <c r="DC5" s="125" t="s">
        <v>99</v>
      </c>
      <c r="DD5" s="66" t="s">
        <v>101</v>
      </c>
      <c r="DE5" s="126" t="s">
        <v>118</v>
      </c>
      <c r="DF5" s="124" t="s">
        <v>57</v>
      </c>
      <c r="DG5" s="124" t="s">
        <v>65</v>
      </c>
      <c r="DH5" s="124" t="s">
        <v>76</v>
      </c>
      <c r="DI5" s="125" t="s">
        <v>102</v>
      </c>
      <c r="DJ5" s="66" t="s">
        <v>104</v>
      </c>
      <c r="DK5" s="124" t="s">
        <v>66</v>
      </c>
      <c r="DL5" s="124" t="s">
        <v>57</v>
      </c>
      <c r="DM5" s="124" t="s">
        <v>65</v>
      </c>
      <c r="DN5" s="124" t="s">
        <v>76</v>
      </c>
      <c r="DO5" s="125" t="s">
        <v>105</v>
      </c>
      <c r="DP5" s="66" t="s">
        <v>107</v>
      </c>
      <c r="DQ5" s="126" t="s">
        <v>119</v>
      </c>
      <c r="DR5" s="124" t="s">
        <v>57</v>
      </c>
      <c r="DS5" s="124" t="s">
        <v>65</v>
      </c>
      <c r="DT5" s="124" t="s">
        <v>76</v>
      </c>
      <c r="DU5" s="125" t="s">
        <v>108</v>
      </c>
      <c r="DV5" s="66" t="s">
        <v>111</v>
      </c>
      <c r="DW5" s="126" t="s">
        <v>120</v>
      </c>
      <c r="DX5" s="124" t="s">
        <v>57</v>
      </c>
      <c r="DY5" s="124" t="s">
        <v>65</v>
      </c>
      <c r="DZ5" s="124" t="s">
        <v>76</v>
      </c>
      <c r="EA5" s="125" t="s">
        <v>110</v>
      </c>
      <c r="EB5" s="66" t="s">
        <v>132</v>
      </c>
      <c r="EC5" s="127" t="s">
        <v>133</v>
      </c>
      <c r="ED5" s="127" t="s">
        <v>57</v>
      </c>
      <c r="EE5" s="127" t="s">
        <v>65</v>
      </c>
      <c r="EF5" s="127" t="s">
        <v>76</v>
      </c>
      <c r="EG5" s="128" t="s">
        <v>134</v>
      </c>
      <c r="EH5" s="66" t="s">
        <v>136</v>
      </c>
      <c r="EI5" s="127" t="s">
        <v>137</v>
      </c>
      <c r="EJ5" s="127" t="s">
        <v>57</v>
      </c>
      <c r="EK5" s="127" t="s">
        <v>65</v>
      </c>
      <c r="EL5" s="127" t="s">
        <v>76</v>
      </c>
      <c r="EM5" s="128" t="s">
        <v>138</v>
      </c>
      <c r="EN5" s="66" t="s">
        <v>140</v>
      </c>
      <c r="EO5" s="127" t="s">
        <v>141</v>
      </c>
      <c r="EP5" s="127" t="s">
        <v>57</v>
      </c>
      <c r="EQ5" s="127" t="s">
        <v>65</v>
      </c>
      <c r="ER5" s="127" t="s">
        <v>76</v>
      </c>
      <c r="ES5" s="128" t="s">
        <v>142</v>
      </c>
      <c r="ET5" s="66" t="s">
        <v>144</v>
      </c>
      <c r="EU5" s="127" t="s">
        <v>145</v>
      </c>
      <c r="EV5" s="127" t="s">
        <v>57</v>
      </c>
      <c r="EW5" s="127" t="s">
        <v>65</v>
      </c>
      <c r="EX5" s="127" t="s">
        <v>76</v>
      </c>
      <c r="EY5" s="128" t="s">
        <v>146</v>
      </c>
      <c r="EZ5" s="66" t="s">
        <v>148</v>
      </c>
      <c r="FA5" s="127" t="s">
        <v>149</v>
      </c>
      <c r="FB5" s="127" t="s">
        <v>57</v>
      </c>
      <c r="FC5" s="127" t="s">
        <v>65</v>
      </c>
      <c r="FD5" s="127" t="s">
        <v>76</v>
      </c>
      <c r="FE5" s="128" t="s">
        <v>150</v>
      </c>
      <c r="FF5" s="66" t="s">
        <v>152</v>
      </c>
      <c r="FG5" s="127" t="s">
        <v>153</v>
      </c>
      <c r="FH5" s="127" t="s">
        <v>57</v>
      </c>
      <c r="FI5" s="127" t="s">
        <v>65</v>
      </c>
      <c r="FJ5" s="127" t="s">
        <v>76</v>
      </c>
      <c r="FK5" s="128" t="s">
        <v>154</v>
      </c>
      <c r="FL5" s="66" t="s">
        <v>156</v>
      </c>
      <c r="FM5" s="127" t="s">
        <v>157</v>
      </c>
      <c r="FN5" s="127" t="s">
        <v>57</v>
      </c>
      <c r="FO5" s="127" t="s">
        <v>65</v>
      </c>
      <c r="FP5" s="127" t="s">
        <v>76</v>
      </c>
      <c r="FQ5" s="128" t="s">
        <v>158</v>
      </c>
      <c r="FR5" s="66" t="s">
        <v>160</v>
      </c>
      <c r="FS5" s="127" t="s">
        <v>161</v>
      </c>
      <c r="FT5" s="127" t="s">
        <v>57</v>
      </c>
      <c r="FU5" s="127" t="s">
        <v>65</v>
      </c>
      <c r="FV5" s="127" t="s">
        <v>76</v>
      </c>
      <c r="FW5" s="128" t="s">
        <v>162</v>
      </c>
      <c r="FX5" s="66" t="s">
        <v>164</v>
      </c>
      <c r="FY5" s="127" t="s">
        <v>168</v>
      </c>
      <c r="FZ5" s="127" t="s">
        <v>57</v>
      </c>
      <c r="GA5" s="127" t="s">
        <v>65</v>
      </c>
      <c r="GB5" s="127" t="s">
        <v>76</v>
      </c>
      <c r="GC5" s="128" t="s">
        <v>165</v>
      </c>
      <c r="GD5" s="66" t="s">
        <v>167</v>
      </c>
      <c r="GE5" s="127" t="s">
        <v>169</v>
      </c>
      <c r="GF5" s="127" t="s">
        <v>57</v>
      </c>
      <c r="GG5" s="127" t="s">
        <v>65</v>
      </c>
      <c r="GH5" s="127" t="s">
        <v>76</v>
      </c>
      <c r="GI5" s="128" t="s">
        <v>170</v>
      </c>
      <c r="GJ5" s="217"/>
      <c r="GK5" s="225"/>
      <c r="GL5" s="220"/>
      <c r="GM5" s="260"/>
    </row>
    <row r="6" spans="1:195" s="26" customFormat="1" ht="19.5" thickBot="1" x14ac:dyDescent="0.25">
      <c r="A6" s="232"/>
      <c r="B6" s="100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7" t="s">
        <v>69</v>
      </c>
      <c r="K6" s="112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7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7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7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7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7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7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7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7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7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7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7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7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7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7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7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7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7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7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7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7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7" t="s">
        <v>52</v>
      </c>
      <c r="GJ6" s="154" t="s">
        <v>52</v>
      </c>
      <c r="GK6" s="152" t="s">
        <v>60</v>
      </c>
      <c r="GL6" s="182" t="s">
        <v>74</v>
      </c>
      <c r="GM6" s="187"/>
    </row>
    <row r="7" spans="1:195" s="27" customFormat="1" thickBot="1" x14ac:dyDescent="0.25">
      <c r="A7" s="97">
        <v>1</v>
      </c>
      <c r="B7" s="101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6">
        <f>F7+1</f>
        <v>7</v>
      </c>
      <c r="H7" s="61">
        <f t="shared" si="0"/>
        <v>8</v>
      </c>
      <c r="I7" s="61">
        <f t="shared" ref="I7:L7" si="1">H7+1</f>
        <v>9</v>
      </c>
      <c r="J7" s="108">
        <f>I7+1</f>
        <v>10</v>
      </c>
      <c r="K7" s="113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8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8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8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8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8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8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8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8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8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8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8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8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8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8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8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8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8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8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8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8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8">
        <f t="shared" ref="GI7" si="103">GH7+1</f>
        <v>191</v>
      </c>
      <c r="GJ7" s="62">
        <f>GI7+1</f>
        <v>192</v>
      </c>
      <c r="GK7" s="153">
        <f>GJ7+1</f>
        <v>193</v>
      </c>
      <c r="GL7" s="183">
        <f>GK7+1</f>
        <v>194</v>
      </c>
      <c r="GM7" s="188"/>
    </row>
    <row r="8" spans="1:195" s="28" customFormat="1" thickBot="1" x14ac:dyDescent="0.25">
      <c r="A8" s="98" t="s">
        <v>3</v>
      </c>
      <c r="B8" s="102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9" t="s">
        <v>68</v>
      </c>
      <c r="K8" s="114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9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9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9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9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9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9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9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9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9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9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9" t="s">
        <v>4</v>
      </c>
      <c r="EA8" s="109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9" t="s">
        <v>4</v>
      </c>
      <c r="EG8" s="109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9" t="s">
        <v>4</v>
      </c>
      <c r="EM8" s="109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9" t="s">
        <v>4</v>
      </c>
      <c r="EY8" s="109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9" t="s">
        <v>4</v>
      </c>
      <c r="FE8" s="109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9" t="s">
        <v>4</v>
      </c>
      <c r="FK8" s="109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9" t="s">
        <v>4</v>
      </c>
      <c r="FQ8" s="109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9" t="s">
        <v>4</v>
      </c>
      <c r="FW8" s="109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9" t="s">
        <v>4</v>
      </c>
      <c r="GC8" s="109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9" t="s">
        <v>4</v>
      </c>
      <c r="GI8" s="109" t="s">
        <v>4</v>
      </c>
      <c r="GJ8" s="156" t="s">
        <v>4</v>
      </c>
      <c r="GK8" s="155" t="s">
        <v>4</v>
      </c>
      <c r="GL8" s="184" t="s">
        <v>50</v>
      </c>
      <c r="GM8" s="189"/>
    </row>
    <row r="9" spans="1:195" s="25" customFormat="1" ht="37.5" x14ac:dyDescent="0.3">
      <c r="A9" s="167" t="s">
        <v>192</v>
      </c>
      <c r="B9" s="140" t="s">
        <v>8</v>
      </c>
      <c r="C9" s="140" t="s">
        <v>8</v>
      </c>
      <c r="D9" s="140" t="s">
        <v>8</v>
      </c>
      <c r="E9" s="140" t="s">
        <v>8</v>
      </c>
      <c r="F9" s="140" t="s">
        <v>8</v>
      </c>
      <c r="G9" s="103">
        <f>'Исходные данные'!C11</f>
        <v>1011</v>
      </c>
      <c r="H9" s="49">
        <f>'Исходные данные'!D11</f>
        <v>1464020</v>
      </c>
      <c r="I9" s="50">
        <f>'Расчет КРП'!F7</f>
        <v>3.8046300869939156</v>
      </c>
      <c r="J9" s="110" t="s">
        <v>8</v>
      </c>
      <c r="K9" s="142">
        <f t="shared" ref="K9:K18" si="104">((H9/G9)/($H$19/$G$19))/I9</f>
        <v>0.17194094320619296</v>
      </c>
      <c r="L9" s="143">
        <f t="shared" ref="L9:L18" si="105">$D$19*G9/$G$19</f>
        <v>1226447.8464802839</v>
      </c>
      <c r="M9" s="146">
        <f t="shared" ref="M9:M18" si="106">(((H9+L9)/G9)/$J$19)/I9</f>
        <v>0.3159803685672018</v>
      </c>
      <c r="N9" s="147" t="s">
        <v>8</v>
      </c>
      <c r="O9" s="148">
        <f t="shared" ref="O9:O18" si="107">$N$19-M9</f>
        <v>6.2537191704312822E-2</v>
      </c>
      <c r="P9" s="160">
        <f t="shared" ref="P9:P18" si="108">IF(O9&gt;0,G9*I9*(($H$19+$L$19)/$G$19)*O9,0)</f>
        <v>824293.2246711296</v>
      </c>
      <c r="Q9" s="149">
        <f t="shared" ref="Q9:Q18" si="109">IF(($F$19-P$19)&gt;0,P9,$F$19*P9/P$19)</f>
        <v>471272.67780721368</v>
      </c>
      <c r="R9" s="144" t="s">
        <v>8</v>
      </c>
      <c r="S9" s="48" t="s">
        <v>8</v>
      </c>
      <c r="T9" s="52">
        <f t="shared" ref="T9:T18" si="110">(((H9+L9+Q9)/G9)/$J$19)/I9</f>
        <v>0.37132870310462662</v>
      </c>
      <c r="U9" s="51">
        <f t="shared" ref="U9:U18" si="111">S$19-T9</f>
        <v>6.7492397275695115E-2</v>
      </c>
      <c r="V9" s="53">
        <f t="shared" ref="V9:V18" si="112">IF(U9&gt;0,$G9*$I9*(($H$19+$L$19+$Q$19)/$G$19)*U9,0)</f>
        <v>1006088.6242092523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0.37132870310462662</v>
      </c>
      <c r="AA9" s="51">
        <f t="shared" ref="AA9:AA18" si="115">Y$19-Z9</f>
        <v>6.7492397275695115E-2</v>
      </c>
      <c r="AB9" s="53">
        <f t="shared" ref="AB9:AB18" si="116">IF(AA9&gt;0,$G9*$I9*(($H$19+$L$19+$Q$19+$W$19)/$G$19)*AA9,0)</f>
        <v>1006088.6242092523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0.37132870310462662</v>
      </c>
      <c r="AG9" s="51">
        <f t="shared" ref="AG9:AG18" si="119">AE$19-AF9</f>
        <v>6.7492397275695115E-2</v>
      </c>
      <c r="AH9" s="53">
        <f t="shared" ref="AH9:AH18" si="120">IF(AG9&gt;0,$G9*$I9*(($H$19+$L$19+$Q$19+$W$19+$AC$19)/$G$19)*AG9,0)</f>
        <v>1006088.6242092523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0.37132870310462662</v>
      </c>
      <c r="AM9" s="51">
        <f t="shared" ref="AM9:AM18" si="123">AK$19-AL9</f>
        <v>6.7492397275695115E-2</v>
      </c>
      <c r="AN9" s="53">
        <f t="shared" ref="AN9:AN18" si="124">IF(AM9&gt;0,$G9*$I9*(($H$19+$L$19+$Q$19+$W$19+$AC$19+$AI$19)/$G$19)*AM9,0)</f>
        <v>1006088.6242092523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0.37132870310462662</v>
      </c>
      <c r="AS9" s="51">
        <f t="shared" ref="AS9:AS18" si="127">AQ$19-AR9</f>
        <v>6.7492397275695115E-2</v>
      </c>
      <c r="AT9" s="53">
        <f t="shared" ref="AT9:AT18" si="128">IF(AS9&gt;0,$G9*$I9*(($H$19+$L$19+$Q$19+$W$19+$AC$19+$AI$19+$AO$19)/$G$19)*AS9,0)</f>
        <v>1006088.6242092523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0.37132870310462662</v>
      </c>
      <c r="AY9" s="51">
        <f t="shared" ref="AY9:AY18" si="131">AW$19-AX9</f>
        <v>6.7492397275695115E-2</v>
      </c>
      <c r="AZ9" s="53">
        <f t="shared" ref="AZ9:AZ18" si="132">IF(AY9&gt;0,$G9*$I9*(($H$19+$L$19+$Q$19+$W$19+$AC$19+$AI$19+$AO$19+$AU$19)/$G$19)*AY9,0)</f>
        <v>1006088.6242092523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0.37132870310462662</v>
      </c>
      <c r="BE9" s="51">
        <f t="shared" ref="BE9:BE18" si="135">BC$19-BD9</f>
        <v>6.7492397275695115E-2</v>
      </c>
      <c r="BF9" s="53">
        <f t="shared" ref="BF9:BF18" si="136">IF(BE9&gt;0,$G9*$I9*(($H$19+$L$19+$Q$19+$W$19+$AC$19+$AI$19+$AO$19+$AU$19+$BA$19)/$G$19)*BE9,0)</f>
        <v>1006088.6242092523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0.37132870310462662</v>
      </c>
      <c r="BK9" s="51">
        <f t="shared" ref="BK9:BK18" si="139">BI$19-BJ9</f>
        <v>6.7492397275695115E-2</v>
      </c>
      <c r="BL9" s="53">
        <f t="shared" ref="BL9:BL18" si="140">IF(BK9&gt;0,$G9*$I9*(($H$19+$L$19+$Q$19+$W$19+$AC$19+$AI$19+$AO$19+$AU$19+$BA$19+$BG$19)/$G$19)*BK9,0)</f>
        <v>1006088.6242092523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0.37132870310462662</v>
      </c>
      <c r="BQ9" s="51">
        <f t="shared" ref="BQ9:BQ18" si="143">BO$19-BP9</f>
        <v>6.7492397275695115E-2</v>
      </c>
      <c r="BR9" s="53">
        <f t="shared" ref="BR9:BR18" si="144">IF(BQ9&gt;0,$G9*$I9*(($H$19+$L$19+$Q$19+$W$19+$AC$19+$AI$19+$AO$19+$AU$19+$BA$19+$BG$19+$BM$19)/$G$19)*BQ9,0)</f>
        <v>1006088.6242092523</v>
      </c>
      <c r="BS9" s="121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0.37132870310462662</v>
      </c>
      <c r="BW9" s="51">
        <f t="shared" ref="BW9:BW18" si="147">BU$19-BV9</f>
        <v>6.7492397275695115E-2</v>
      </c>
      <c r="BX9" s="53">
        <f t="shared" ref="BX9:BX18" si="148">IF(BW9&gt;0,$G9*$I9*(($H$19+$L$19+$Q$19+$W$19+$AC$19+$AI$19+$AO$19+$AU$19+$BA$19+$BG$19+$BM$19+$BS$19)/$G$19)*BW9,0)</f>
        <v>1006088.6242092523</v>
      </c>
      <c r="BY9" s="121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0.37132870310462662</v>
      </c>
      <c r="CC9" s="51">
        <f t="shared" ref="CC9:CC18" si="151">CA$19-CB9</f>
        <v>6.7492397275695115E-2</v>
      </c>
      <c r="CD9" s="53">
        <f t="shared" ref="CD9:CD18" si="152">IF(CC9&gt;0,$G9*$I9*(($H$19+$L$19+$Q$19+$W$19+$AC$19+$AI$19+$AO$19+$AU$19+$BA$19+$BG$19+$BM$19+$BS$19+$BY$19)/$G$19)*CC9,0)</f>
        <v>1006088.6242092523</v>
      </c>
      <c r="CE9" s="121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0.37132870310462662</v>
      </c>
      <c r="CI9" s="51">
        <f t="shared" ref="CI9:CI18" si="155">CG$19-CH9</f>
        <v>6.7492397275695115E-2</v>
      </c>
      <c r="CJ9" s="53">
        <f t="shared" ref="CJ9:CJ18" si="156">IF(CI9&gt;0,$G9*$I9*(($H$19+$L$19+$Q$19+$W$19+$AC$19+$AI$19+$AO$19+$AU$19+$BA$19+$BG$19+$BM$19+$BS$19+$BY$19+$CE$19)/$G$19)*CI9,0)</f>
        <v>1006088.6242092523</v>
      </c>
      <c r="CK9" s="121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0.37132870310462662</v>
      </c>
      <c r="CO9" s="51">
        <f t="shared" ref="CO9:CO18" si="159">CM$19-CN9</f>
        <v>6.7492397275695115E-2</v>
      </c>
      <c r="CP9" s="53">
        <f t="shared" ref="CP9:CP18" si="160">IF(CO9&gt;0,$G9*$I9*(($H$19+$L$19+$Q$19+$W$19+$AC$19+$AI$19+$AO$19+$AU$19+$BA$19+$BG$19+$BM$19+$BS$19+$BY$19+$CE$19+$CK$19)/$G$19)*CO9,0)</f>
        <v>1006088.6242092523</v>
      </c>
      <c r="CQ9" s="121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0.37132870310462662</v>
      </c>
      <c r="CU9" s="51">
        <f t="shared" ref="CU9:CU18" si="163">CS$19-CT9</f>
        <v>6.7492397275695115E-2</v>
      </c>
      <c r="CV9" s="53">
        <f t="shared" ref="CV9:CV18" si="164">IF(CU9&gt;0,$G9*$I9*(($H$19+$L$19+$Q$19+$W$19+$AC$19+$AI$19+$AO$19+$AU$19+$BA$19+$BG$19+$BM$19+$BS$19+$BY$19+$CE$19+$CK$19+$CQ$19)/$G$19)*CU9,0)</f>
        <v>1006088.6242092523</v>
      </c>
      <c r="CW9" s="121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0.37132870310462662</v>
      </c>
      <c r="DA9" s="51">
        <f t="shared" ref="DA9:DA18" si="167">CY$19-CZ9</f>
        <v>6.7492397275695115E-2</v>
      </c>
      <c r="DB9" s="53">
        <f t="shared" ref="DB9:DB18" si="168">IF(DA9&gt;0,$G9*$I9*(($H$19+$L$19+$Q$19+$W$19+$AC$19+$AI$19+$AO$19+$AU$19+$BA$19+$BG$19+$BM$19+$BS$19+$BY$19+$CE$19+$CK$19+$CQ$19+$CW$19)/$G$19)*DA9,0)</f>
        <v>1006088.6242092523</v>
      </c>
      <c r="DC9" s="121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0.37132870310462662</v>
      </c>
      <c r="DG9" s="51">
        <f t="shared" ref="DG9:DG18" si="171">DE$19-DF9</f>
        <v>6.7492397275695115E-2</v>
      </c>
      <c r="DH9" s="53">
        <f t="shared" ref="DH9:DH18" si="172">IF(DG9&gt;0,$G9*$I9*(($H$19+$L$19+$Q$19+$W$19+$AC$19+$AI$19+$AO$19+$AU$19+$BA$19+$BG$19+$BM$19+$BS$19+$BY$19+$CE$19+$CK$19+$CQ$19+$CW$19+$DC$19)/$G$19)*DG9,0)</f>
        <v>1006088.6242092523</v>
      </c>
      <c r="DI9" s="121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0.37132870310462662</v>
      </c>
      <c r="DM9" s="51">
        <f t="shared" ref="DM9:DM18" si="175">DK$19-DL9</f>
        <v>6.7492397275695115E-2</v>
      </c>
      <c r="DN9" s="53">
        <f t="shared" ref="DN9:DN18" si="176">IF(DM9&gt;0,$G9*$I9*(($H$19+$L$19+$Q$19+$W$19+$AC$19+$AI$19+$AO$19+$AU$19+$BA$19+$BG$19+$BM$19+$BS$19+$BY$19+$CE$19+$CK$19+$CQ$19+$CW$19+$DC$19+$DI$19)/$G$19)*DM9,0)</f>
        <v>1006088.6242092523</v>
      </c>
      <c r="DO9" s="121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0.37132870310462662</v>
      </c>
      <c r="DS9" s="51">
        <f t="shared" ref="DS9:DS18" si="179">DQ$19-DR9</f>
        <v>6.7492397275695115E-2</v>
      </c>
      <c r="DT9" s="53">
        <f t="shared" ref="DT9:DT18" si="180">IF(DS9&gt;0,$G9*$I9*(($H$19+$L$19+$Q$19+$W$19+$AC$19+$AI$19+$AO$19+$AU$19+$BA$19+$BG$19+$BM$19+$BS$19+$BY$19+$CE$19+$CK$19+$CQ$19+$CW$19+$DC$19+$DI$19+$DO$19)/$G$19)*DS9,0)</f>
        <v>1006088.6242092523</v>
      </c>
      <c r="DU9" s="121">
        <f t="shared" ref="DU9:DU18" si="181">IF((DP$19-DT$19)&gt;0,DT9,DP$19*DT9/DT$19)</f>
        <v>0</v>
      </c>
      <c r="DV9" s="157" t="s">
        <v>8</v>
      </c>
      <c r="DW9" s="147" t="s">
        <v>8</v>
      </c>
      <c r="DX9" s="161">
        <f t="shared" ref="DX9:DX18" si="182">((($H9+$L9+$Q9+$W9+$AC9+$AI9+$AO9+$AU9+$BA9+$BG9+$BM9+$BS9+$BY9+$CE9+$CK9+$CQ9+$CW9+$DC9+$DI9+$DO9+$DU9)/$G9)/$J$19)/$I9</f>
        <v>0.37132870310462662</v>
      </c>
      <c r="DY9" s="148">
        <f t="shared" ref="DY9:DY18" si="183">DW$19-DX9</f>
        <v>6.7492397275695115E-2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1006088.6242092523</v>
      </c>
      <c r="EA9" s="149">
        <f t="shared" ref="EA9:EA18" si="185">IF((DV$19-DZ$19)&gt;0,DZ9,DV$19*DZ9/DZ$19)</f>
        <v>0</v>
      </c>
      <c r="EB9" s="157" t="s">
        <v>8</v>
      </c>
      <c r="EC9" s="147" t="s">
        <v>8</v>
      </c>
      <c r="ED9" s="161">
        <f t="shared" ref="ED9:ED18" si="186">((($H9+$L9+$Q9+$W9+$AC9+$AI9+$AO9+$AU9+$BA9+$BG9+$BM9+$BS9+$BY9+$CE9+$CK9+$CQ9+$CW9+$DC9+$DI9+$DO9+$DU9+$EA9)/$G9)/$J$19)/$I9</f>
        <v>0.37132870310462662</v>
      </c>
      <c r="EE9" s="148">
        <f t="shared" ref="EE9:EE18" si="187">EC$19-ED9</f>
        <v>6.7492397275695115E-2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1006088.6242092523</v>
      </c>
      <c r="EG9" s="149">
        <f t="shared" ref="EG9:EG18" si="189">IF((EB$19-EF$19)&gt;0,EF9,EB$19*EF9/EF$19)</f>
        <v>0</v>
      </c>
      <c r="EH9" s="157" t="s">
        <v>8</v>
      </c>
      <c r="EI9" s="147" t="s">
        <v>8</v>
      </c>
      <c r="EJ9" s="161">
        <f t="shared" ref="EJ9:EJ18" si="190">((($H9+$L9+$Q9+$W9+$AC9+$AI9+$AO9+$AU9+$BA9+$BG9+$BM9+$BS9+$BY9+$CE9+$CK9+$CQ9+$CW9+$DC9+$DI9+$DO9+$DU9+$EA9+$EG9)/$G9)/$J$19)/$I9</f>
        <v>0.37132870310462662</v>
      </c>
      <c r="EK9" s="148">
        <f t="shared" ref="EK9:EK18" si="191">EI$19-EJ9</f>
        <v>6.7492397275695115E-2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1006088.6242092523</v>
      </c>
      <c r="EM9" s="149">
        <f t="shared" ref="EM9:EM18" si="193">IF((EH$19-EL$19)&gt;0,EL9,EH$19*EL9/EL$19)</f>
        <v>0</v>
      </c>
      <c r="EN9" s="75" t="s">
        <v>8</v>
      </c>
      <c r="EO9" s="48" t="s">
        <v>8</v>
      </c>
      <c r="EP9" s="162">
        <f t="shared" ref="EP9:EP18" si="194">((($H9+$L9+$Q9+$W9+$AC9+$AI9+$AO9+$AU9+$BA9+$BG9+$BM9+$BS9+$BY9+$CE9+$CK9+$CQ9+$CW9+$DC9+$DI9+$DO9+$DU9+$EA9+$EG9+$EM9)/$G9)/$J$19)/$I9</f>
        <v>0.37132870310462662</v>
      </c>
      <c r="EQ9" s="51">
        <f t="shared" ref="EQ9:EQ18" si="195">EO$19-EP9</f>
        <v>6.7492397275695115E-2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1006088.6242092523</v>
      </c>
      <c r="ES9" s="79">
        <f t="shared" ref="ES9:ES18" si="197">IF((EN$19-ER$19)&gt;0,ER9,EN$19*ER9/ER$19)</f>
        <v>0</v>
      </c>
      <c r="ET9" s="157" t="s">
        <v>8</v>
      </c>
      <c r="EU9" s="147" t="s">
        <v>8</v>
      </c>
      <c r="EV9" s="161">
        <f t="shared" ref="EV9:EV18" si="198">((($H9+$L9+$Q9+$W9+$AC9+$AI9+$AO9+$AU9+$BA9+$BG9+$BM9+$BS9+$BY9+$CE9+$CK9+$CQ9+$CW9+$DC9+$DI9+$DO9+$DU9+$EA9+$EG9+$EM9+$ES9)/$G9)/$J$19)/$I9</f>
        <v>0.37132870310462662</v>
      </c>
      <c r="EW9" s="148">
        <f t="shared" ref="EW9:EW18" si="199">EU$19-EV9</f>
        <v>6.7492397275695115E-2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1006088.6242092523</v>
      </c>
      <c r="EY9" s="149">
        <f t="shared" ref="EY9:EY18" si="201">IF((ET$19-EX$19)&gt;0,EX9,ET$19*EX9/EX$19)</f>
        <v>0</v>
      </c>
      <c r="EZ9" s="157" t="s">
        <v>8</v>
      </c>
      <c r="FA9" s="147" t="s">
        <v>8</v>
      </c>
      <c r="FB9" s="161">
        <f t="shared" ref="FB9:FB18" si="202">((($H9+$L9+$Q9+$W9+$AC9+$AI9+$AO9+$AU9+$BA9+$BG9+$BM9+$BS9+$BY9+$CE9+$CK9+$CQ9+$CW9+$DC9+$DI9+$DO9+$DU9+$EA9+$EG9+$EM9+$ES9+$EY9)/$G9)/$J$19)/$I9</f>
        <v>0.37132870310462662</v>
      </c>
      <c r="FC9" s="148">
        <f t="shared" ref="FC9:FC18" si="203">FA$19-FB9</f>
        <v>6.7492397275695115E-2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1006088.6242092523</v>
      </c>
      <c r="FE9" s="149">
        <f t="shared" ref="FE9:FE18" si="205">IF((EZ$19-FD$19)&gt;0,FD9,EZ$19*FD9/FD$19)</f>
        <v>0</v>
      </c>
      <c r="FF9" s="157" t="s">
        <v>8</v>
      </c>
      <c r="FG9" s="147" t="s">
        <v>8</v>
      </c>
      <c r="FH9" s="161">
        <f t="shared" ref="FH9:FH18" si="206">((($H9+$L9+$Q9+$W9+$AC9+$AI9+$AO9+$AU9+$BA9+$BG9+$BM9+$BS9+$BY9+$CE9+$CK9+$CQ9+$CW9+$DC9+$DI9+$DO9+$DU9+$EA9+$EG9+$EM9+$ES9+$EY9+$FE9)/$G9)/$J$19)/$I9</f>
        <v>0.37132870310462662</v>
      </c>
      <c r="FI9" s="148">
        <f t="shared" ref="FI9:FI18" si="207">FG$19-FH9</f>
        <v>6.7492397275695115E-2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1006088.6242092523</v>
      </c>
      <c r="FK9" s="149">
        <f t="shared" ref="FK9:FK18" si="209">IF((FF$19-FJ$19)&gt;0,FJ9,FF$19*FJ9/FJ$19)</f>
        <v>0</v>
      </c>
      <c r="FL9" s="157" t="s">
        <v>8</v>
      </c>
      <c r="FM9" s="147" t="s">
        <v>8</v>
      </c>
      <c r="FN9" s="161">
        <f t="shared" ref="FN9:FN18" si="210">((($H9+$L9+$Q9+$W9+$AC9+$AI9+$AO9+$AU9+$BA9+$BG9+$BM9+$BS9+$BY9+$CE9+$CK9+$CQ9+$CW9+$DC9+$DI9+$DO9+$DU9+$EA9+$EG9+$EM9+$ES9+$EY9+$FE9+$FK9)/$G9)/$J$19)/$I9</f>
        <v>0.37132870310462662</v>
      </c>
      <c r="FO9" s="148">
        <f t="shared" ref="FO9:FO18" si="211">FM$19-FN9</f>
        <v>6.7492397275695115E-2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1006088.6242092523</v>
      </c>
      <c r="FQ9" s="149">
        <f t="shared" ref="FQ9:FQ18" si="213">IF((FL$19-FP$19)&gt;0,FP9,FL$19*FP9/FP$19)</f>
        <v>0</v>
      </c>
      <c r="FR9" s="157" t="s">
        <v>8</v>
      </c>
      <c r="FS9" s="147" t="s">
        <v>8</v>
      </c>
      <c r="FT9" s="161">
        <f t="shared" ref="FT9:FT18" si="214">((($H9+$L9+$Q9+$W9+$AC9+$AI9+$AO9+$AU9+$BA9+$BG9+$BM9+$BS9+$BY9+$CE9+$CK9+$CQ9+$CW9+$DC9+$DI9+$DO9+$DU9+$EA9+$EG9+$EM9+$ES9+$EY9+$FE9+$FK9+$FQ9)/$G9)/$J$19)/$I9</f>
        <v>0.37132870310462662</v>
      </c>
      <c r="FU9" s="148">
        <f t="shared" ref="FU9:FU18" si="215">FS$19-FT9</f>
        <v>6.7492397275695115E-2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1006088.6242092523</v>
      </c>
      <c r="FW9" s="149">
        <f t="shared" ref="FW9:FW18" si="217">IF((FR$19-FV$19)&gt;0,FV9,FR$19*FV9/FV$19)</f>
        <v>0</v>
      </c>
      <c r="FX9" s="157" t="s">
        <v>8</v>
      </c>
      <c r="FY9" s="147" t="s">
        <v>8</v>
      </c>
      <c r="FZ9" s="161">
        <f t="shared" ref="FZ9:FZ18" si="218">((($H9+$L9+$Q9+$W9+$AC9+$AI9+$AO9+$AU9+$BA9+$BG9+$BM9+$BS9+$BY9+$CE9+$CK9+$CQ9+$CW9+$DC9+$DI9+$DO9+$DU9+$EA9+$EG9+$EM9+$ES9+$EY9+$FE9+$FK9+$FQ9+$FW9)/$G9)/$J$19)/$I9</f>
        <v>0.37132870310462662</v>
      </c>
      <c r="GA9" s="148">
        <f t="shared" ref="GA9:GA18" si="219">FY$19-FZ9</f>
        <v>6.7492397275695115E-2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1006088.6242092523</v>
      </c>
      <c r="GC9" s="149">
        <f t="shared" ref="GC9:GC18" si="221">IF((FX$19-GB$19)&gt;0,GB9,FX$19*GB9/GB$19)</f>
        <v>0</v>
      </c>
      <c r="GD9" s="157" t="s">
        <v>8</v>
      </c>
      <c r="GE9" s="147" t="s">
        <v>8</v>
      </c>
      <c r="GF9" s="161">
        <f t="shared" ref="GF9:GF18" si="222">((($H9+$L9+$Q9+$W9+$AC9+$AI9+$AO9+$AU9+$BA9+$BG9+$BM9+$BS9+$BY9+$CE9+$CK9+$CQ9+$CW9+$DC9+$DI9+$DO9+$DU9+$EA9+$EG9+$EM9+$ES9+$EY9+$FE9+$FK9+$FQ9+$FW9+$GC9)/$G9)/$J$19)/$I9</f>
        <v>0.37132870310462662</v>
      </c>
      <c r="GG9" s="148">
        <f t="shared" ref="GG9:GG18" si="223">GE$19-GF9</f>
        <v>6.7492397275695115E-2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1006088.6242092523</v>
      </c>
      <c r="GI9" s="165">
        <f t="shared" ref="GI9:GI18" si="225">IF((GD$19-GH$19)&gt;0,GH9,GD$19*GH9/GH$19)</f>
        <v>0</v>
      </c>
      <c r="GJ9" s="163">
        <f>Q9+W9+AC9+AI9+AO9+AU9+BA9+BG9+BM9+BS9+BY9+CE9+CK9+CQ9+CW9+DC9+DI9+DO9+DU9+EA9+EG9+EM9+ES9+EY9+FE9+FK9+FQ9+FW9+GC9+GI9</f>
        <v>471272.67780721368</v>
      </c>
      <c r="GK9" s="150">
        <f t="shared" ref="GK9:GK19" si="226">L9+GJ9</f>
        <v>1697720.5242874976</v>
      </c>
      <c r="GL9" s="185">
        <f t="shared" ref="GL9:GL18" si="227">K9+GK9/($H$19/$G$19)/G9/I9</f>
        <v>0.37132870310462662</v>
      </c>
      <c r="GM9" s="190"/>
    </row>
    <row r="10" spans="1:195" s="25" customFormat="1" ht="37.5" x14ac:dyDescent="0.3">
      <c r="A10" s="167" t="s">
        <v>193</v>
      </c>
      <c r="B10" s="141" t="s">
        <v>8</v>
      </c>
      <c r="C10" s="141" t="s">
        <v>8</v>
      </c>
      <c r="D10" s="141" t="s">
        <v>8</v>
      </c>
      <c r="E10" s="141" t="s">
        <v>8</v>
      </c>
      <c r="F10" s="141" t="s">
        <v>8</v>
      </c>
      <c r="G10" s="104">
        <f>'Исходные данные'!C12</f>
        <v>1145</v>
      </c>
      <c r="H10" s="31">
        <f>'Исходные данные'!D12</f>
        <v>1883677</v>
      </c>
      <c r="I10" s="32">
        <f>'Расчет КРП'!F8</f>
        <v>5.3480769230769232</v>
      </c>
      <c r="J10" s="111" t="s">
        <v>8</v>
      </c>
      <c r="K10" s="115">
        <f t="shared" si="104"/>
        <v>0.13896300335986908</v>
      </c>
      <c r="L10" s="77">
        <f t="shared" si="105"/>
        <v>1389003.7430464146</v>
      </c>
      <c r="M10" s="73">
        <f t="shared" si="106"/>
        <v>0.24143287043996273</v>
      </c>
      <c r="N10" s="30" t="s">
        <v>8</v>
      </c>
      <c r="O10" s="33">
        <f t="shared" si="107"/>
        <v>0.13708468983155189</v>
      </c>
      <c r="P10" s="34">
        <f t="shared" si="108"/>
        <v>2876549.4701788677</v>
      </c>
      <c r="Q10" s="80">
        <f t="shared" si="109"/>
        <v>1644607.927229997</v>
      </c>
      <c r="R10" s="145" t="s">
        <v>8</v>
      </c>
      <c r="S10" s="30" t="s">
        <v>8</v>
      </c>
      <c r="T10" s="35">
        <f t="shared" si="110"/>
        <v>0.36275922146369421</v>
      </c>
      <c r="U10" s="33">
        <f t="shared" si="111"/>
        <v>7.6061878916627523E-2</v>
      </c>
      <c r="V10" s="53">
        <f t="shared" si="112"/>
        <v>1805044.7446889782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0.36275922146369421</v>
      </c>
      <c r="AA10" s="33">
        <f t="shared" si="115"/>
        <v>7.6061878916627523E-2</v>
      </c>
      <c r="AB10" s="53">
        <f t="shared" si="116"/>
        <v>1805044.7446889782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0.36275922146369421</v>
      </c>
      <c r="AG10" s="33">
        <f t="shared" si="119"/>
        <v>7.6061878916627523E-2</v>
      </c>
      <c r="AH10" s="53">
        <f t="shared" si="120"/>
        <v>1805044.7446889782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0.36275922146369421</v>
      </c>
      <c r="AM10" s="33">
        <f t="shared" si="123"/>
        <v>7.6061878916627523E-2</v>
      </c>
      <c r="AN10" s="53">
        <f t="shared" si="124"/>
        <v>1805044.7446889782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0.36275922146369421</v>
      </c>
      <c r="AS10" s="33">
        <f t="shared" si="127"/>
        <v>7.6061878916627523E-2</v>
      </c>
      <c r="AT10" s="53">
        <f t="shared" si="128"/>
        <v>1805044.7446889782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0.36275922146369421</v>
      </c>
      <c r="AY10" s="33">
        <f t="shared" si="131"/>
        <v>7.6061878916627523E-2</v>
      </c>
      <c r="AZ10" s="53">
        <f t="shared" si="132"/>
        <v>1805044.7446889782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0.36275922146369421</v>
      </c>
      <c r="BE10" s="33">
        <f t="shared" si="135"/>
        <v>7.6061878916627523E-2</v>
      </c>
      <c r="BF10" s="53">
        <f t="shared" si="136"/>
        <v>1805044.7446889782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0.36275922146369421</v>
      </c>
      <c r="BK10" s="33">
        <f t="shared" si="139"/>
        <v>7.6061878916627523E-2</v>
      </c>
      <c r="BL10" s="53">
        <f t="shared" si="140"/>
        <v>1805044.7446889782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0.36275922146369421</v>
      </c>
      <c r="BQ10" s="33">
        <f t="shared" si="143"/>
        <v>7.6061878916627523E-2</v>
      </c>
      <c r="BR10" s="53">
        <f t="shared" si="144"/>
        <v>1805044.7446889782</v>
      </c>
      <c r="BS10" s="122">
        <f t="shared" si="145"/>
        <v>0</v>
      </c>
      <c r="BT10" s="76" t="s">
        <v>8</v>
      </c>
      <c r="BU10" s="30" t="s">
        <v>8</v>
      </c>
      <c r="BV10" s="35">
        <f t="shared" si="146"/>
        <v>0.36275922146369421</v>
      </c>
      <c r="BW10" s="33">
        <f t="shared" si="147"/>
        <v>7.6061878916627523E-2</v>
      </c>
      <c r="BX10" s="53">
        <f t="shared" si="148"/>
        <v>1805044.7446889782</v>
      </c>
      <c r="BY10" s="122">
        <f t="shared" si="149"/>
        <v>0</v>
      </c>
      <c r="BZ10" s="76" t="s">
        <v>8</v>
      </c>
      <c r="CA10" s="30" t="s">
        <v>8</v>
      </c>
      <c r="CB10" s="35">
        <f t="shared" si="150"/>
        <v>0.36275922146369421</v>
      </c>
      <c r="CC10" s="33">
        <f t="shared" si="151"/>
        <v>7.6061878916627523E-2</v>
      </c>
      <c r="CD10" s="53">
        <f t="shared" si="152"/>
        <v>1805044.7446889782</v>
      </c>
      <c r="CE10" s="122">
        <f t="shared" si="153"/>
        <v>0</v>
      </c>
      <c r="CF10" s="76" t="s">
        <v>8</v>
      </c>
      <c r="CG10" s="30" t="s">
        <v>8</v>
      </c>
      <c r="CH10" s="35">
        <f t="shared" si="154"/>
        <v>0.36275922146369421</v>
      </c>
      <c r="CI10" s="33">
        <f t="shared" si="155"/>
        <v>7.6061878916627523E-2</v>
      </c>
      <c r="CJ10" s="53">
        <f t="shared" si="156"/>
        <v>1805044.7446889782</v>
      </c>
      <c r="CK10" s="122">
        <f t="shared" si="157"/>
        <v>0</v>
      </c>
      <c r="CL10" s="76" t="s">
        <v>8</v>
      </c>
      <c r="CM10" s="30" t="s">
        <v>8</v>
      </c>
      <c r="CN10" s="35">
        <f t="shared" si="158"/>
        <v>0.36275922146369421</v>
      </c>
      <c r="CO10" s="33">
        <f t="shared" si="159"/>
        <v>7.6061878916627523E-2</v>
      </c>
      <c r="CP10" s="53">
        <f t="shared" si="160"/>
        <v>1805044.7446889782</v>
      </c>
      <c r="CQ10" s="122">
        <f t="shared" si="161"/>
        <v>0</v>
      </c>
      <c r="CR10" s="76" t="s">
        <v>8</v>
      </c>
      <c r="CS10" s="30" t="s">
        <v>8</v>
      </c>
      <c r="CT10" s="35">
        <f t="shared" si="162"/>
        <v>0.36275922146369421</v>
      </c>
      <c r="CU10" s="33">
        <f t="shared" si="163"/>
        <v>7.6061878916627523E-2</v>
      </c>
      <c r="CV10" s="53">
        <f t="shared" si="164"/>
        <v>1805044.7446889782</v>
      </c>
      <c r="CW10" s="122">
        <f t="shared" si="165"/>
        <v>0</v>
      </c>
      <c r="CX10" s="76" t="s">
        <v>8</v>
      </c>
      <c r="CY10" s="30" t="s">
        <v>8</v>
      </c>
      <c r="CZ10" s="35">
        <f t="shared" si="166"/>
        <v>0.36275922146369421</v>
      </c>
      <c r="DA10" s="33">
        <f t="shared" si="167"/>
        <v>7.6061878916627523E-2</v>
      </c>
      <c r="DB10" s="53">
        <f t="shared" si="168"/>
        <v>1805044.7446889782</v>
      </c>
      <c r="DC10" s="122">
        <f t="shared" si="169"/>
        <v>0</v>
      </c>
      <c r="DD10" s="76" t="s">
        <v>8</v>
      </c>
      <c r="DE10" s="30" t="s">
        <v>8</v>
      </c>
      <c r="DF10" s="35">
        <f t="shared" si="170"/>
        <v>0.36275922146369421</v>
      </c>
      <c r="DG10" s="33">
        <f t="shared" si="171"/>
        <v>7.6061878916627523E-2</v>
      </c>
      <c r="DH10" s="53">
        <f t="shared" si="172"/>
        <v>1805044.7446889782</v>
      </c>
      <c r="DI10" s="122">
        <f t="shared" si="173"/>
        <v>0</v>
      </c>
      <c r="DJ10" s="76" t="s">
        <v>8</v>
      </c>
      <c r="DK10" s="30" t="s">
        <v>8</v>
      </c>
      <c r="DL10" s="35">
        <f t="shared" si="174"/>
        <v>0.36275922146369421</v>
      </c>
      <c r="DM10" s="33">
        <f t="shared" si="175"/>
        <v>7.6061878916627523E-2</v>
      </c>
      <c r="DN10" s="53">
        <f t="shared" si="176"/>
        <v>1805044.7446889782</v>
      </c>
      <c r="DO10" s="122">
        <f t="shared" si="177"/>
        <v>0</v>
      </c>
      <c r="DP10" s="76" t="s">
        <v>8</v>
      </c>
      <c r="DQ10" s="30" t="s">
        <v>8</v>
      </c>
      <c r="DR10" s="35">
        <f t="shared" si="178"/>
        <v>0.36275922146369421</v>
      </c>
      <c r="DS10" s="33">
        <f t="shared" si="179"/>
        <v>7.6061878916627523E-2</v>
      </c>
      <c r="DT10" s="53">
        <f t="shared" si="180"/>
        <v>1805044.7446889782</v>
      </c>
      <c r="DU10" s="122">
        <f t="shared" si="181"/>
        <v>0</v>
      </c>
      <c r="DV10" s="76" t="s">
        <v>8</v>
      </c>
      <c r="DW10" s="30" t="s">
        <v>8</v>
      </c>
      <c r="DX10" s="35">
        <f t="shared" si="182"/>
        <v>0.36275922146369421</v>
      </c>
      <c r="DY10" s="33">
        <f t="shared" si="183"/>
        <v>7.6061878916627523E-2</v>
      </c>
      <c r="DZ10" s="34">
        <f t="shared" si="184"/>
        <v>1805044.7446889782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0.36275922146369421</v>
      </c>
      <c r="EE10" s="33">
        <f t="shared" si="187"/>
        <v>7.6061878916627523E-2</v>
      </c>
      <c r="EF10" s="34">
        <f t="shared" si="188"/>
        <v>1805044.7446889782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0.36275922146369421</v>
      </c>
      <c r="EK10" s="33">
        <f t="shared" si="191"/>
        <v>7.6061878916627523E-2</v>
      </c>
      <c r="EL10" s="34">
        <f t="shared" si="192"/>
        <v>1805044.7446889782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0.36275922146369421</v>
      </c>
      <c r="EQ10" s="33">
        <f t="shared" si="195"/>
        <v>7.6061878916627523E-2</v>
      </c>
      <c r="ER10" s="34">
        <f t="shared" si="196"/>
        <v>1805044.7446889782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0.36275922146369421</v>
      </c>
      <c r="EW10" s="33">
        <f t="shared" si="199"/>
        <v>7.6061878916627523E-2</v>
      </c>
      <c r="EX10" s="34">
        <f t="shared" si="200"/>
        <v>1805044.7446889782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0.36275922146369421</v>
      </c>
      <c r="FC10" s="33">
        <f t="shared" si="203"/>
        <v>7.6061878916627523E-2</v>
      </c>
      <c r="FD10" s="34">
        <f t="shared" si="204"/>
        <v>1805044.7446889782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0.36275922146369421</v>
      </c>
      <c r="FI10" s="33">
        <f t="shared" si="207"/>
        <v>7.6061878916627523E-2</v>
      </c>
      <c r="FJ10" s="34">
        <f t="shared" si="208"/>
        <v>1805044.7446889782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0.36275922146369421</v>
      </c>
      <c r="FO10" s="33">
        <f t="shared" si="211"/>
        <v>7.6061878916627523E-2</v>
      </c>
      <c r="FP10" s="34">
        <f t="shared" si="212"/>
        <v>1805044.7446889782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0.36275922146369421</v>
      </c>
      <c r="FU10" s="33">
        <f t="shared" si="215"/>
        <v>7.6061878916627523E-2</v>
      </c>
      <c r="FV10" s="34">
        <f t="shared" si="216"/>
        <v>1805044.7446889782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0.36275922146369421</v>
      </c>
      <c r="GA10" s="33">
        <f t="shared" si="219"/>
        <v>7.6061878916627523E-2</v>
      </c>
      <c r="GB10" s="34">
        <f t="shared" si="220"/>
        <v>1805044.7446889782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0.36275922146369421</v>
      </c>
      <c r="GG10" s="33">
        <f t="shared" si="223"/>
        <v>7.6061878916627523E-2</v>
      </c>
      <c r="GH10" s="34">
        <f t="shared" si="224"/>
        <v>1805044.7446889782</v>
      </c>
      <c r="GI10" s="122">
        <f t="shared" si="225"/>
        <v>0</v>
      </c>
      <c r="GJ10" s="151">
        <f t="shared" ref="GJ10:GJ18" si="228">Q10+W10+AC10+AI10+AO10+AU10+BA10+BG10+BM10+BS10+BY10+CE10+CK10+CQ10+CW10+DC10+DI10+DO10+DU10+EA10+EG10+EM10+ES10+EY10+FE10+FK10+FQ10+FW10+GC10+GI10</f>
        <v>1644607.927229997</v>
      </c>
      <c r="GK10" s="95">
        <f t="shared" si="226"/>
        <v>3033611.6702764118</v>
      </c>
      <c r="GL10" s="185">
        <f t="shared" si="227"/>
        <v>0.36275922146369421</v>
      </c>
      <c r="GM10" s="190"/>
    </row>
    <row r="11" spans="1:195" s="25" customFormat="1" ht="56.25" x14ac:dyDescent="0.3">
      <c r="A11" s="167" t="s">
        <v>194</v>
      </c>
      <c r="B11" s="141" t="s">
        <v>8</v>
      </c>
      <c r="C11" s="141" t="s">
        <v>8</v>
      </c>
      <c r="D11" s="141" t="s">
        <v>8</v>
      </c>
      <c r="E11" s="141" t="s">
        <v>8</v>
      </c>
      <c r="F11" s="141" t="s">
        <v>8</v>
      </c>
      <c r="G11" s="104">
        <f>'Исходные данные'!C13</f>
        <v>709</v>
      </c>
      <c r="H11" s="31">
        <f>'Исходные данные'!D13</f>
        <v>504434</v>
      </c>
      <c r="I11" s="32">
        <f>'Расчет КРП'!F9</f>
        <v>4.1571758357982578</v>
      </c>
      <c r="J11" s="111" t="s">
        <v>8</v>
      </c>
      <c r="K11" s="115">
        <f t="shared" si="104"/>
        <v>7.731354918594506E-2</v>
      </c>
      <c r="L11" s="77">
        <f t="shared" si="105"/>
        <v>860090.52735363133</v>
      </c>
      <c r="M11" s="73">
        <f t="shared" si="106"/>
        <v>0.20913783400996644</v>
      </c>
      <c r="N11" s="30" t="s">
        <v>8</v>
      </c>
      <c r="O11" s="33">
        <f t="shared" si="107"/>
        <v>0.16937972626154818</v>
      </c>
      <c r="P11" s="34">
        <f t="shared" si="108"/>
        <v>1710747.1207009933</v>
      </c>
      <c r="Q11" s="80">
        <f t="shared" si="109"/>
        <v>978084.43948499125</v>
      </c>
      <c r="R11" s="145" t="s">
        <v>8</v>
      </c>
      <c r="S11" s="30" t="s">
        <v>8</v>
      </c>
      <c r="T11" s="35">
        <f t="shared" si="110"/>
        <v>0.35904680013859847</v>
      </c>
      <c r="U11" s="33">
        <f t="shared" si="111"/>
        <v>7.9774300241723273E-2</v>
      </c>
      <c r="V11" s="53">
        <f t="shared" si="112"/>
        <v>911224.57431225607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0.35904680013859847</v>
      </c>
      <c r="AA11" s="33">
        <f t="shared" si="115"/>
        <v>7.9774300241723273E-2</v>
      </c>
      <c r="AB11" s="53">
        <f t="shared" si="116"/>
        <v>911224.57431225607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0.35904680013859847</v>
      </c>
      <c r="AG11" s="33">
        <f t="shared" si="119"/>
        <v>7.9774300241723273E-2</v>
      </c>
      <c r="AH11" s="53">
        <f t="shared" si="120"/>
        <v>911224.57431225607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0.35904680013859847</v>
      </c>
      <c r="AM11" s="33">
        <f t="shared" si="123"/>
        <v>7.9774300241723273E-2</v>
      </c>
      <c r="AN11" s="53">
        <f t="shared" si="124"/>
        <v>911224.57431225607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0.35904680013859847</v>
      </c>
      <c r="AS11" s="33">
        <f t="shared" si="127"/>
        <v>7.9774300241723273E-2</v>
      </c>
      <c r="AT11" s="53">
        <f t="shared" si="128"/>
        <v>911224.57431225607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0.35904680013859847</v>
      </c>
      <c r="AY11" s="33">
        <f t="shared" si="131"/>
        <v>7.9774300241723273E-2</v>
      </c>
      <c r="AZ11" s="53">
        <f t="shared" si="132"/>
        <v>911224.57431225607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0.35904680013859847</v>
      </c>
      <c r="BE11" s="33">
        <f t="shared" si="135"/>
        <v>7.9774300241723273E-2</v>
      </c>
      <c r="BF11" s="53">
        <f t="shared" si="136"/>
        <v>911224.57431225607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0.35904680013859847</v>
      </c>
      <c r="BK11" s="33">
        <f t="shared" si="139"/>
        <v>7.9774300241723273E-2</v>
      </c>
      <c r="BL11" s="53">
        <f t="shared" si="140"/>
        <v>911224.57431225607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0.35904680013859847</v>
      </c>
      <c r="BQ11" s="33">
        <f t="shared" si="143"/>
        <v>7.9774300241723273E-2</v>
      </c>
      <c r="BR11" s="53">
        <f t="shared" si="144"/>
        <v>911224.57431225607</v>
      </c>
      <c r="BS11" s="122">
        <f t="shared" si="145"/>
        <v>0</v>
      </c>
      <c r="BT11" s="76" t="s">
        <v>8</v>
      </c>
      <c r="BU11" s="30" t="s">
        <v>8</v>
      </c>
      <c r="BV11" s="35">
        <f t="shared" si="146"/>
        <v>0.35904680013859847</v>
      </c>
      <c r="BW11" s="33">
        <f t="shared" si="147"/>
        <v>7.9774300241723273E-2</v>
      </c>
      <c r="BX11" s="53">
        <f t="shared" si="148"/>
        <v>911224.57431225607</v>
      </c>
      <c r="BY11" s="122">
        <f t="shared" si="149"/>
        <v>0</v>
      </c>
      <c r="BZ11" s="76" t="s">
        <v>8</v>
      </c>
      <c r="CA11" s="30" t="s">
        <v>8</v>
      </c>
      <c r="CB11" s="35">
        <f t="shared" si="150"/>
        <v>0.35904680013859847</v>
      </c>
      <c r="CC11" s="33">
        <f t="shared" si="151"/>
        <v>7.9774300241723273E-2</v>
      </c>
      <c r="CD11" s="53">
        <f t="shared" si="152"/>
        <v>911224.57431225607</v>
      </c>
      <c r="CE11" s="122">
        <f t="shared" si="153"/>
        <v>0</v>
      </c>
      <c r="CF11" s="76" t="s">
        <v>8</v>
      </c>
      <c r="CG11" s="30" t="s">
        <v>8</v>
      </c>
      <c r="CH11" s="35">
        <f t="shared" si="154"/>
        <v>0.35904680013859847</v>
      </c>
      <c r="CI11" s="33">
        <f t="shared" si="155"/>
        <v>7.9774300241723273E-2</v>
      </c>
      <c r="CJ11" s="53">
        <f t="shared" si="156"/>
        <v>911224.57431225607</v>
      </c>
      <c r="CK11" s="122">
        <f t="shared" si="157"/>
        <v>0</v>
      </c>
      <c r="CL11" s="76" t="s">
        <v>8</v>
      </c>
      <c r="CM11" s="30" t="s">
        <v>8</v>
      </c>
      <c r="CN11" s="35">
        <f t="shared" si="158"/>
        <v>0.35904680013859847</v>
      </c>
      <c r="CO11" s="33">
        <f t="shared" si="159"/>
        <v>7.9774300241723273E-2</v>
      </c>
      <c r="CP11" s="53">
        <f t="shared" si="160"/>
        <v>911224.57431225607</v>
      </c>
      <c r="CQ11" s="122">
        <f t="shared" si="161"/>
        <v>0</v>
      </c>
      <c r="CR11" s="76" t="s">
        <v>8</v>
      </c>
      <c r="CS11" s="30" t="s">
        <v>8</v>
      </c>
      <c r="CT11" s="35">
        <f t="shared" si="162"/>
        <v>0.35904680013859847</v>
      </c>
      <c r="CU11" s="33">
        <f t="shared" si="163"/>
        <v>7.9774300241723273E-2</v>
      </c>
      <c r="CV11" s="53">
        <f t="shared" si="164"/>
        <v>911224.57431225607</v>
      </c>
      <c r="CW11" s="122">
        <f t="shared" si="165"/>
        <v>0</v>
      </c>
      <c r="CX11" s="76" t="s">
        <v>8</v>
      </c>
      <c r="CY11" s="30" t="s">
        <v>8</v>
      </c>
      <c r="CZ11" s="35">
        <f t="shared" si="166"/>
        <v>0.35904680013859847</v>
      </c>
      <c r="DA11" s="33">
        <f t="shared" si="167"/>
        <v>7.9774300241723273E-2</v>
      </c>
      <c r="DB11" s="53">
        <f t="shared" si="168"/>
        <v>911224.57431225607</v>
      </c>
      <c r="DC11" s="122">
        <f t="shared" si="169"/>
        <v>0</v>
      </c>
      <c r="DD11" s="76" t="s">
        <v>8</v>
      </c>
      <c r="DE11" s="30" t="s">
        <v>8</v>
      </c>
      <c r="DF11" s="35">
        <f t="shared" si="170"/>
        <v>0.35904680013859847</v>
      </c>
      <c r="DG11" s="33">
        <f t="shared" si="171"/>
        <v>7.9774300241723273E-2</v>
      </c>
      <c r="DH11" s="53">
        <f t="shared" si="172"/>
        <v>911224.57431225607</v>
      </c>
      <c r="DI11" s="122">
        <f t="shared" si="173"/>
        <v>0</v>
      </c>
      <c r="DJ11" s="76" t="s">
        <v>8</v>
      </c>
      <c r="DK11" s="30" t="s">
        <v>8</v>
      </c>
      <c r="DL11" s="35">
        <f t="shared" si="174"/>
        <v>0.35904680013859847</v>
      </c>
      <c r="DM11" s="33">
        <f t="shared" si="175"/>
        <v>7.9774300241723273E-2</v>
      </c>
      <c r="DN11" s="53">
        <f t="shared" si="176"/>
        <v>911224.57431225607</v>
      </c>
      <c r="DO11" s="122">
        <f t="shared" si="177"/>
        <v>0</v>
      </c>
      <c r="DP11" s="76" t="s">
        <v>8</v>
      </c>
      <c r="DQ11" s="30" t="s">
        <v>8</v>
      </c>
      <c r="DR11" s="35">
        <f t="shared" si="178"/>
        <v>0.35904680013859847</v>
      </c>
      <c r="DS11" s="33">
        <f t="shared" si="179"/>
        <v>7.9774300241723273E-2</v>
      </c>
      <c r="DT11" s="53">
        <f t="shared" si="180"/>
        <v>911224.57431225607</v>
      </c>
      <c r="DU11" s="122">
        <f t="shared" si="181"/>
        <v>0</v>
      </c>
      <c r="DV11" s="76" t="s">
        <v>8</v>
      </c>
      <c r="DW11" s="30" t="s">
        <v>8</v>
      </c>
      <c r="DX11" s="35">
        <f t="shared" si="182"/>
        <v>0.35904680013859847</v>
      </c>
      <c r="DY11" s="33">
        <f t="shared" si="183"/>
        <v>7.9774300241723273E-2</v>
      </c>
      <c r="DZ11" s="34">
        <f t="shared" si="184"/>
        <v>911224.57431225607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0.35904680013859847</v>
      </c>
      <c r="EE11" s="33">
        <f t="shared" si="187"/>
        <v>7.9774300241723273E-2</v>
      </c>
      <c r="EF11" s="34">
        <f t="shared" si="188"/>
        <v>911224.57431225607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0.35904680013859847</v>
      </c>
      <c r="EK11" s="33">
        <f t="shared" si="191"/>
        <v>7.9774300241723273E-2</v>
      </c>
      <c r="EL11" s="34">
        <f t="shared" si="192"/>
        <v>911224.57431225607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0.35904680013859847</v>
      </c>
      <c r="EQ11" s="33">
        <f t="shared" si="195"/>
        <v>7.9774300241723273E-2</v>
      </c>
      <c r="ER11" s="34">
        <f t="shared" si="196"/>
        <v>911224.57431225607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0.35904680013859847</v>
      </c>
      <c r="EW11" s="33">
        <f t="shared" si="199"/>
        <v>7.9774300241723273E-2</v>
      </c>
      <c r="EX11" s="34">
        <f t="shared" si="200"/>
        <v>911224.57431225607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0.35904680013859847</v>
      </c>
      <c r="FC11" s="33">
        <f t="shared" si="203"/>
        <v>7.9774300241723273E-2</v>
      </c>
      <c r="FD11" s="34">
        <f t="shared" si="204"/>
        <v>911224.57431225607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0.35904680013859847</v>
      </c>
      <c r="FI11" s="33">
        <f t="shared" si="207"/>
        <v>7.9774300241723273E-2</v>
      </c>
      <c r="FJ11" s="34">
        <f t="shared" si="208"/>
        <v>911224.57431225607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0.35904680013859847</v>
      </c>
      <c r="FO11" s="33">
        <f t="shared" si="211"/>
        <v>7.9774300241723273E-2</v>
      </c>
      <c r="FP11" s="34">
        <f t="shared" si="212"/>
        <v>911224.57431225607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0.35904680013859847</v>
      </c>
      <c r="FU11" s="33">
        <f t="shared" si="215"/>
        <v>7.9774300241723273E-2</v>
      </c>
      <c r="FV11" s="34">
        <f t="shared" si="216"/>
        <v>911224.57431225607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0.35904680013859847</v>
      </c>
      <c r="GA11" s="33">
        <f t="shared" si="219"/>
        <v>7.9774300241723273E-2</v>
      </c>
      <c r="GB11" s="34">
        <f t="shared" si="220"/>
        <v>911224.57431225607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0.35904680013859847</v>
      </c>
      <c r="GG11" s="33">
        <f t="shared" si="223"/>
        <v>7.9774300241723273E-2</v>
      </c>
      <c r="GH11" s="34">
        <f t="shared" si="224"/>
        <v>911224.57431225607</v>
      </c>
      <c r="GI11" s="122">
        <f t="shared" si="225"/>
        <v>0</v>
      </c>
      <c r="GJ11" s="151">
        <f t="shared" si="228"/>
        <v>978084.43948499125</v>
      </c>
      <c r="GK11" s="95">
        <f t="shared" si="226"/>
        <v>1838174.9668386225</v>
      </c>
      <c r="GL11" s="185">
        <f t="shared" si="227"/>
        <v>0.35904680013859847</v>
      </c>
      <c r="GM11" s="190"/>
    </row>
    <row r="12" spans="1:195" s="25" customFormat="1" ht="37.5" x14ac:dyDescent="0.3">
      <c r="A12" s="167" t="s">
        <v>195</v>
      </c>
      <c r="B12" s="141" t="s">
        <v>8</v>
      </c>
      <c r="C12" s="141" t="s">
        <v>8</v>
      </c>
      <c r="D12" s="141" t="s">
        <v>8</v>
      </c>
      <c r="E12" s="141" t="s">
        <v>8</v>
      </c>
      <c r="F12" s="141" t="s">
        <v>8</v>
      </c>
      <c r="G12" s="104">
        <f>'Исходные данные'!C14</f>
        <v>1059</v>
      </c>
      <c r="H12" s="31">
        <f>'Исходные данные'!D14</f>
        <v>3818342</v>
      </c>
      <c r="I12" s="32">
        <f>'Расчет КРП'!F10</f>
        <v>4.4863891132664264</v>
      </c>
      <c r="J12" s="111" t="s">
        <v>8</v>
      </c>
      <c r="K12" s="115">
        <f t="shared" si="104"/>
        <v>0.36305950822358118</v>
      </c>
      <c r="L12" s="77">
        <f t="shared" si="105"/>
        <v>1284676.8243547187</v>
      </c>
      <c r="M12" s="73">
        <f t="shared" si="106"/>
        <v>0.48521046695814607</v>
      </c>
      <c r="N12" s="30" t="s">
        <v>8</v>
      </c>
      <c r="O12" s="33">
        <f t="shared" si="107"/>
        <v>-0.10669290668663145</v>
      </c>
      <c r="P12" s="34">
        <f t="shared" si="108"/>
        <v>0</v>
      </c>
      <c r="Q12" s="80">
        <f t="shared" si="109"/>
        <v>0</v>
      </c>
      <c r="R12" s="145" t="s">
        <v>8</v>
      </c>
      <c r="S12" s="30" t="s">
        <v>8</v>
      </c>
      <c r="T12" s="35">
        <f t="shared" si="110"/>
        <v>0.48521046695814607</v>
      </c>
      <c r="U12" s="33">
        <f t="shared" si="111"/>
        <v>-4.6389366577824331E-2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0.48521046695814607</v>
      </c>
      <c r="AA12" s="33">
        <f t="shared" si="115"/>
        <v>-4.6389366577824331E-2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0.48521046695814607</v>
      </c>
      <c r="AG12" s="33">
        <f t="shared" si="119"/>
        <v>-4.6389366577824331E-2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0.48521046695814607</v>
      </c>
      <c r="AM12" s="33">
        <f t="shared" si="123"/>
        <v>-4.6389366577824331E-2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0.48521046695814607</v>
      </c>
      <c r="AS12" s="33">
        <f t="shared" si="127"/>
        <v>-4.6389366577824331E-2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0.48521046695814607</v>
      </c>
      <c r="AY12" s="33">
        <f t="shared" si="131"/>
        <v>-4.6389366577824331E-2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0.48521046695814607</v>
      </c>
      <c r="BE12" s="33">
        <f t="shared" si="135"/>
        <v>-4.6389366577824331E-2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0.48521046695814607</v>
      </c>
      <c r="BK12" s="33">
        <f t="shared" si="139"/>
        <v>-4.6389366577824331E-2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0.48521046695814607</v>
      </c>
      <c r="BQ12" s="33">
        <f t="shared" si="143"/>
        <v>-4.6389366577824331E-2</v>
      </c>
      <c r="BR12" s="53">
        <f t="shared" si="144"/>
        <v>0</v>
      </c>
      <c r="BS12" s="122">
        <f t="shared" si="145"/>
        <v>0</v>
      </c>
      <c r="BT12" s="76" t="s">
        <v>8</v>
      </c>
      <c r="BU12" s="30" t="s">
        <v>8</v>
      </c>
      <c r="BV12" s="35">
        <f t="shared" si="146"/>
        <v>0.48521046695814607</v>
      </c>
      <c r="BW12" s="33">
        <f t="shared" si="147"/>
        <v>-4.6389366577824331E-2</v>
      </c>
      <c r="BX12" s="53">
        <f t="shared" si="148"/>
        <v>0</v>
      </c>
      <c r="BY12" s="122">
        <f t="shared" si="149"/>
        <v>0</v>
      </c>
      <c r="BZ12" s="76" t="s">
        <v>8</v>
      </c>
      <c r="CA12" s="30" t="s">
        <v>8</v>
      </c>
      <c r="CB12" s="35">
        <f t="shared" si="150"/>
        <v>0.48521046695814607</v>
      </c>
      <c r="CC12" s="33">
        <f t="shared" si="151"/>
        <v>-4.6389366577824331E-2</v>
      </c>
      <c r="CD12" s="53">
        <f t="shared" si="152"/>
        <v>0</v>
      </c>
      <c r="CE12" s="122">
        <f t="shared" si="153"/>
        <v>0</v>
      </c>
      <c r="CF12" s="76" t="s">
        <v>8</v>
      </c>
      <c r="CG12" s="30" t="s">
        <v>8</v>
      </c>
      <c r="CH12" s="35">
        <f t="shared" si="154"/>
        <v>0.48521046695814607</v>
      </c>
      <c r="CI12" s="33">
        <f t="shared" si="155"/>
        <v>-4.6389366577824331E-2</v>
      </c>
      <c r="CJ12" s="53">
        <f t="shared" si="156"/>
        <v>0</v>
      </c>
      <c r="CK12" s="122">
        <f t="shared" si="157"/>
        <v>0</v>
      </c>
      <c r="CL12" s="76" t="s">
        <v>8</v>
      </c>
      <c r="CM12" s="30" t="s">
        <v>8</v>
      </c>
      <c r="CN12" s="35">
        <f t="shared" si="158"/>
        <v>0.48521046695814607</v>
      </c>
      <c r="CO12" s="33">
        <f t="shared" si="159"/>
        <v>-4.6389366577824331E-2</v>
      </c>
      <c r="CP12" s="53">
        <f t="shared" si="160"/>
        <v>0</v>
      </c>
      <c r="CQ12" s="122">
        <f t="shared" si="161"/>
        <v>0</v>
      </c>
      <c r="CR12" s="76" t="s">
        <v>8</v>
      </c>
      <c r="CS12" s="30" t="s">
        <v>8</v>
      </c>
      <c r="CT12" s="35">
        <f t="shared" si="162"/>
        <v>0.48521046695814607</v>
      </c>
      <c r="CU12" s="33">
        <f t="shared" si="163"/>
        <v>-4.6389366577824331E-2</v>
      </c>
      <c r="CV12" s="53">
        <f t="shared" si="164"/>
        <v>0</v>
      </c>
      <c r="CW12" s="122">
        <f t="shared" si="165"/>
        <v>0</v>
      </c>
      <c r="CX12" s="76" t="s">
        <v>8</v>
      </c>
      <c r="CY12" s="30" t="s">
        <v>8</v>
      </c>
      <c r="CZ12" s="35">
        <f t="shared" si="166"/>
        <v>0.48521046695814607</v>
      </c>
      <c r="DA12" s="33">
        <f t="shared" si="167"/>
        <v>-4.6389366577824331E-2</v>
      </c>
      <c r="DB12" s="53">
        <f t="shared" si="168"/>
        <v>0</v>
      </c>
      <c r="DC12" s="122">
        <f t="shared" si="169"/>
        <v>0</v>
      </c>
      <c r="DD12" s="76" t="s">
        <v>8</v>
      </c>
      <c r="DE12" s="30" t="s">
        <v>8</v>
      </c>
      <c r="DF12" s="35">
        <f t="shared" si="170"/>
        <v>0.48521046695814607</v>
      </c>
      <c r="DG12" s="33">
        <f t="shared" si="171"/>
        <v>-4.6389366577824331E-2</v>
      </c>
      <c r="DH12" s="53">
        <f t="shared" si="172"/>
        <v>0</v>
      </c>
      <c r="DI12" s="122">
        <f t="shared" si="173"/>
        <v>0</v>
      </c>
      <c r="DJ12" s="76" t="s">
        <v>8</v>
      </c>
      <c r="DK12" s="30" t="s">
        <v>8</v>
      </c>
      <c r="DL12" s="35">
        <f t="shared" si="174"/>
        <v>0.48521046695814607</v>
      </c>
      <c r="DM12" s="33">
        <f t="shared" si="175"/>
        <v>-4.6389366577824331E-2</v>
      </c>
      <c r="DN12" s="53">
        <f t="shared" si="176"/>
        <v>0</v>
      </c>
      <c r="DO12" s="122">
        <f t="shared" si="177"/>
        <v>0</v>
      </c>
      <c r="DP12" s="76" t="s">
        <v>8</v>
      </c>
      <c r="DQ12" s="30" t="s">
        <v>8</v>
      </c>
      <c r="DR12" s="35">
        <f t="shared" si="178"/>
        <v>0.48521046695814607</v>
      </c>
      <c r="DS12" s="33">
        <f t="shared" si="179"/>
        <v>-4.6389366577824331E-2</v>
      </c>
      <c r="DT12" s="53">
        <f t="shared" si="180"/>
        <v>0</v>
      </c>
      <c r="DU12" s="122">
        <f t="shared" si="181"/>
        <v>0</v>
      </c>
      <c r="DV12" s="76" t="s">
        <v>8</v>
      </c>
      <c r="DW12" s="30" t="s">
        <v>8</v>
      </c>
      <c r="DX12" s="35">
        <f t="shared" si="182"/>
        <v>0.48521046695814607</v>
      </c>
      <c r="DY12" s="33">
        <f t="shared" si="183"/>
        <v>-4.6389366577824331E-2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0.48521046695814607</v>
      </c>
      <c r="EE12" s="33">
        <f t="shared" si="187"/>
        <v>-4.6389366577824331E-2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0.48521046695814607</v>
      </c>
      <c r="EK12" s="33">
        <f t="shared" si="191"/>
        <v>-4.6389366577824331E-2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0.48521046695814607</v>
      </c>
      <c r="EQ12" s="33">
        <f t="shared" si="195"/>
        <v>-4.6389366577824331E-2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0.48521046695814607</v>
      </c>
      <c r="EW12" s="33">
        <f t="shared" si="199"/>
        <v>-4.6389366577824331E-2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0.48521046695814607</v>
      </c>
      <c r="FC12" s="33">
        <f t="shared" si="203"/>
        <v>-4.6389366577824331E-2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0.48521046695814607</v>
      </c>
      <c r="FI12" s="33">
        <f t="shared" si="207"/>
        <v>-4.6389366577824331E-2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0.48521046695814607</v>
      </c>
      <c r="FO12" s="33">
        <f t="shared" si="211"/>
        <v>-4.6389366577824331E-2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0.48521046695814607</v>
      </c>
      <c r="FU12" s="33">
        <f t="shared" si="215"/>
        <v>-4.6389366577824331E-2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0.48521046695814607</v>
      </c>
      <c r="GA12" s="33">
        <f t="shared" si="219"/>
        <v>-4.6389366577824331E-2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0.48521046695814607</v>
      </c>
      <c r="GG12" s="33">
        <f t="shared" si="223"/>
        <v>-4.6389366577824331E-2</v>
      </c>
      <c r="GH12" s="34">
        <f t="shared" si="224"/>
        <v>0</v>
      </c>
      <c r="GI12" s="122">
        <f t="shared" si="225"/>
        <v>0</v>
      </c>
      <c r="GJ12" s="151">
        <f t="shared" si="228"/>
        <v>0</v>
      </c>
      <c r="GK12" s="95">
        <f>L12+GJ12</f>
        <v>1284676.8243547187</v>
      </c>
      <c r="GL12" s="185">
        <f t="shared" si="227"/>
        <v>0.48521046695814612</v>
      </c>
      <c r="GM12" s="190"/>
    </row>
    <row r="13" spans="1:195" s="25" customFormat="1" ht="15.75" customHeight="1" x14ac:dyDescent="0.3">
      <c r="A13" s="167" t="s">
        <v>196</v>
      </c>
      <c r="B13" s="141" t="s">
        <v>8</v>
      </c>
      <c r="C13" s="141" t="s">
        <v>8</v>
      </c>
      <c r="D13" s="141" t="s">
        <v>8</v>
      </c>
      <c r="E13" s="141" t="s">
        <v>8</v>
      </c>
      <c r="F13" s="141" t="s">
        <v>8</v>
      </c>
      <c r="G13" s="104">
        <f>'Исходные данные'!C15</f>
        <v>1128</v>
      </c>
      <c r="H13" s="31">
        <f>'Исходные данные'!D15</f>
        <v>2340726</v>
      </c>
      <c r="I13" s="32">
        <f>'Расчет КРП'!F11</f>
        <v>4.9567770410446244</v>
      </c>
      <c r="J13" s="111" t="s">
        <v>8</v>
      </c>
      <c r="K13" s="115">
        <f t="shared" si="104"/>
        <v>0.18912022840353224</v>
      </c>
      <c r="L13" s="77">
        <f t="shared" si="105"/>
        <v>1368380.980049219</v>
      </c>
      <c r="M13" s="73">
        <f t="shared" si="106"/>
        <v>0.29967931284569144</v>
      </c>
      <c r="N13" s="30" t="s">
        <v>8</v>
      </c>
      <c r="O13" s="33">
        <f t="shared" si="107"/>
        <v>7.8838247425823182E-2</v>
      </c>
      <c r="P13" s="34">
        <f t="shared" si="108"/>
        <v>1510515.5732562586</v>
      </c>
      <c r="Q13" s="80">
        <f t="shared" si="109"/>
        <v>863606.17529276665</v>
      </c>
      <c r="R13" s="145" t="s">
        <v>8</v>
      </c>
      <c r="S13" s="30" t="s">
        <v>8</v>
      </c>
      <c r="T13" s="35">
        <f t="shared" si="110"/>
        <v>0.36945484279753926</v>
      </c>
      <c r="U13" s="33">
        <f t="shared" si="111"/>
        <v>6.9366257582782476E-2</v>
      </c>
      <c r="V13" s="53">
        <f t="shared" si="112"/>
        <v>1503053.8457296281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0.36945484279753926</v>
      </c>
      <c r="AA13" s="33">
        <f t="shared" si="115"/>
        <v>6.9366257582782476E-2</v>
      </c>
      <c r="AB13" s="53">
        <f t="shared" si="116"/>
        <v>1503053.8457296281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0.36945484279753926</v>
      </c>
      <c r="AG13" s="33">
        <f t="shared" si="119"/>
        <v>6.9366257582782476E-2</v>
      </c>
      <c r="AH13" s="53">
        <f t="shared" si="120"/>
        <v>1503053.8457296281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0.36945484279753926</v>
      </c>
      <c r="AM13" s="33">
        <f t="shared" si="123"/>
        <v>6.9366257582782476E-2</v>
      </c>
      <c r="AN13" s="53">
        <f t="shared" si="124"/>
        <v>1503053.8457296281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0.36945484279753926</v>
      </c>
      <c r="AS13" s="33">
        <f t="shared" si="127"/>
        <v>6.9366257582782476E-2</v>
      </c>
      <c r="AT13" s="53">
        <f t="shared" si="128"/>
        <v>1503053.8457296281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0.36945484279753926</v>
      </c>
      <c r="AY13" s="33">
        <f t="shared" si="131"/>
        <v>6.9366257582782476E-2</v>
      </c>
      <c r="AZ13" s="53">
        <f t="shared" si="132"/>
        <v>1503053.8457296281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0.36945484279753926</v>
      </c>
      <c r="BE13" s="33">
        <f t="shared" si="135"/>
        <v>6.9366257582782476E-2</v>
      </c>
      <c r="BF13" s="53">
        <f t="shared" si="136"/>
        <v>1503053.8457296281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0.36945484279753926</v>
      </c>
      <c r="BK13" s="33">
        <f t="shared" si="139"/>
        <v>6.9366257582782476E-2</v>
      </c>
      <c r="BL13" s="53">
        <f t="shared" si="140"/>
        <v>1503053.8457296281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0.36945484279753926</v>
      </c>
      <c r="BQ13" s="33">
        <f t="shared" si="143"/>
        <v>6.9366257582782476E-2</v>
      </c>
      <c r="BR13" s="53">
        <f t="shared" si="144"/>
        <v>1503053.8457296281</v>
      </c>
      <c r="BS13" s="122">
        <f t="shared" si="145"/>
        <v>0</v>
      </c>
      <c r="BT13" s="76" t="s">
        <v>8</v>
      </c>
      <c r="BU13" s="30" t="s">
        <v>8</v>
      </c>
      <c r="BV13" s="35">
        <f t="shared" si="146"/>
        <v>0.36945484279753926</v>
      </c>
      <c r="BW13" s="33">
        <f t="shared" si="147"/>
        <v>6.9366257582782476E-2</v>
      </c>
      <c r="BX13" s="53">
        <f t="shared" si="148"/>
        <v>1503053.8457296281</v>
      </c>
      <c r="BY13" s="122">
        <f t="shared" si="149"/>
        <v>0</v>
      </c>
      <c r="BZ13" s="76" t="s">
        <v>8</v>
      </c>
      <c r="CA13" s="30" t="s">
        <v>8</v>
      </c>
      <c r="CB13" s="35">
        <f t="shared" si="150"/>
        <v>0.36945484279753926</v>
      </c>
      <c r="CC13" s="33">
        <f t="shared" si="151"/>
        <v>6.9366257582782476E-2</v>
      </c>
      <c r="CD13" s="53">
        <f t="shared" si="152"/>
        <v>1503053.8457296281</v>
      </c>
      <c r="CE13" s="122">
        <f t="shared" si="153"/>
        <v>0</v>
      </c>
      <c r="CF13" s="76" t="s">
        <v>8</v>
      </c>
      <c r="CG13" s="30" t="s">
        <v>8</v>
      </c>
      <c r="CH13" s="35">
        <f t="shared" si="154"/>
        <v>0.36945484279753926</v>
      </c>
      <c r="CI13" s="33">
        <f t="shared" si="155"/>
        <v>6.9366257582782476E-2</v>
      </c>
      <c r="CJ13" s="53">
        <f t="shared" si="156"/>
        <v>1503053.8457296281</v>
      </c>
      <c r="CK13" s="122">
        <f t="shared" si="157"/>
        <v>0</v>
      </c>
      <c r="CL13" s="76" t="s">
        <v>8</v>
      </c>
      <c r="CM13" s="30" t="s">
        <v>8</v>
      </c>
      <c r="CN13" s="35">
        <f t="shared" si="158"/>
        <v>0.36945484279753926</v>
      </c>
      <c r="CO13" s="33">
        <f t="shared" si="159"/>
        <v>6.9366257582782476E-2</v>
      </c>
      <c r="CP13" s="53">
        <f t="shared" si="160"/>
        <v>1503053.8457296281</v>
      </c>
      <c r="CQ13" s="122">
        <f t="shared" si="161"/>
        <v>0</v>
      </c>
      <c r="CR13" s="76" t="s">
        <v>8</v>
      </c>
      <c r="CS13" s="30" t="s">
        <v>8</v>
      </c>
      <c r="CT13" s="35">
        <f t="shared" si="162"/>
        <v>0.36945484279753926</v>
      </c>
      <c r="CU13" s="33">
        <f t="shared" si="163"/>
        <v>6.9366257582782476E-2</v>
      </c>
      <c r="CV13" s="53">
        <f t="shared" si="164"/>
        <v>1503053.8457296281</v>
      </c>
      <c r="CW13" s="122">
        <f t="shared" si="165"/>
        <v>0</v>
      </c>
      <c r="CX13" s="76" t="s">
        <v>8</v>
      </c>
      <c r="CY13" s="30" t="s">
        <v>8</v>
      </c>
      <c r="CZ13" s="35">
        <f t="shared" si="166"/>
        <v>0.36945484279753926</v>
      </c>
      <c r="DA13" s="33">
        <f t="shared" si="167"/>
        <v>6.9366257582782476E-2</v>
      </c>
      <c r="DB13" s="53">
        <f t="shared" si="168"/>
        <v>1503053.8457296281</v>
      </c>
      <c r="DC13" s="122">
        <f t="shared" si="169"/>
        <v>0</v>
      </c>
      <c r="DD13" s="76" t="s">
        <v>8</v>
      </c>
      <c r="DE13" s="30" t="s">
        <v>8</v>
      </c>
      <c r="DF13" s="35">
        <f t="shared" si="170"/>
        <v>0.36945484279753926</v>
      </c>
      <c r="DG13" s="33">
        <f t="shared" si="171"/>
        <v>6.9366257582782476E-2</v>
      </c>
      <c r="DH13" s="53">
        <f t="shared" si="172"/>
        <v>1503053.8457296281</v>
      </c>
      <c r="DI13" s="122">
        <f t="shared" si="173"/>
        <v>0</v>
      </c>
      <c r="DJ13" s="76" t="s">
        <v>8</v>
      </c>
      <c r="DK13" s="30" t="s">
        <v>8</v>
      </c>
      <c r="DL13" s="35">
        <f t="shared" si="174"/>
        <v>0.36945484279753926</v>
      </c>
      <c r="DM13" s="33">
        <f t="shared" si="175"/>
        <v>6.9366257582782476E-2</v>
      </c>
      <c r="DN13" s="53">
        <f t="shared" si="176"/>
        <v>1503053.8457296281</v>
      </c>
      <c r="DO13" s="122">
        <f t="shared" si="177"/>
        <v>0</v>
      </c>
      <c r="DP13" s="76" t="s">
        <v>8</v>
      </c>
      <c r="DQ13" s="30" t="s">
        <v>8</v>
      </c>
      <c r="DR13" s="35">
        <f t="shared" si="178"/>
        <v>0.36945484279753926</v>
      </c>
      <c r="DS13" s="33">
        <f t="shared" si="179"/>
        <v>6.9366257582782476E-2</v>
      </c>
      <c r="DT13" s="53">
        <f t="shared" si="180"/>
        <v>1503053.8457296281</v>
      </c>
      <c r="DU13" s="122">
        <f t="shared" si="181"/>
        <v>0</v>
      </c>
      <c r="DV13" s="76" t="s">
        <v>8</v>
      </c>
      <c r="DW13" s="30" t="s">
        <v>8</v>
      </c>
      <c r="DX13" s="35">
        <f t="shared" si="182"/>
        <v>0.36945484279753926</v>
      </c>
      <c r="DY13" s="33">
        <f t="shared" si="183"/>
        <v>6.9366257582782476E-2</v>
      </c>
      <c r="DZ13" s="34">
        <f t="shared" si="184"/>
        <v>1503053.8457296281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0.36945484279753926</v>
      </c>
      <c r="EE13" s="33">
        <f t="shared" si="187"/>
        <v>6.9366257582782476E-2</v>
      </c>
      <c r="EF13" s="34">
        <f t="shared" si="188"/>
        <v>1503053.8457296281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0.36945484279753926</v>
      </c>
      <c r="EK13" s="33">
        <f t="shared" si="191"/>
        <v>6.9366257582782476E-2</v>
      </c>
      <c r="EL13" s="34">
        <f t="shared" si="192"/>
        <v>1503053.8457296281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0.36945484279753926</v>
      </c>
      <c r="EQ13" s="33">
        <f t="shared" si="195"/>
        <v>6.9366257582782476E-2</v>
      </c>
      <c r="ER13" s="34">
        <f t="shared" si="196"/>
        <v>1503053.8457296281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0.36945484279753926</v>
      </c>
      <c r="EW13" s="33">
        <f t="shared" si="199"/>
        <v>6.9366257582782476E-2</v>
      </c>
      <c r="EX13" s="34">
        <f t="shared" si="200"/>
        <v>1503053.8457296281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0.36945484279753926</v>
      </c>
      <c r="FC13" s="33">
        <f t="shared" si="203"/>
        <v>6.9366257582782476E-2</v>
      </c>
      <c r="FD13" s="34">
        <f t="shared" si="204"/>
        <v>1503053.8457296281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0.36945484279753926</v>
      </c>
      <c r="FI13" s="33">
        <f t="shared" si="207"/>
        <v>6.9366257582782476E-2</v>
      </c>
      <c r="FJ13" s="34">
        <f t="shared" si="208"/>
        <v>1503053.8457296281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0.36945484279753926</v>
      </c>
      <c r="FO13" s="33">
        <f t="shared" si="211"/>
        <v>6.9366257582782476E-2</v>
      </c>
      <c r="FP13" s="34">
        <f t="shared" si="212"/>
        <v>1503053.8457296281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0.36945484279753926</v>
      </c>
      <c r="FU13" s="33">
        <f t="shared" si="215"/>
        <v>6.9366257582782476E-2</v>
      </c>
      <c r="FV13" s="34">
        <f t="shared" si="216"/>
        <v>1503053.8457296281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0.36945484279753926</v>
      </c>
      <c r="GA13" s="33">
        <f t="shared" si="219"/>
        <v>6.9366257582782476E-2</v>
      </c>
      <c r="GB13" s="34">
        <f t="shared" si="220"/>
        <v>1503053.8457296281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0.36945484279753926</v>
      </c>
      <c r="GG13" s="33">
        <f t="shared" si="223"/>
        <v>6.9366257582782476E-2</v>
      </c>
      <c r="GH13" s="34">
        <f t="shared" si="224"/>
        <v>1503053.8457296281</v>
      </c>
      <c r="GI13" s="122">
        <f t="shared" si="225"/>
        <v>0</v>
      </c>
      <c r="GJ13" s="151">
        <f t="shared" si="228"/>
        <v>863606.17529276665</v>
      </c>
      <c r="GK13" s="95">
        <f t="shared" si="226"/>
        <v>2231987.1553419856</v>
      </c>
      <c r="GL13" s="185">
        <f t="shared" si="227"/>
        <v>0.36945484279753926</v>
      </c>
      <c r="GM13" s="190"/>
    </row>
    <row r="14" spans="1:195" s="25" customFormat="1" ht="37.5" x14ac:dyDescent="0.3">
      <c r="A14" s="167" t="s">
        <v>197</v>
      </c>
      <c r="B14" s="141" t="s">
        <v>8</v>
      </c>
      <c r="C14" s="141" t="s">
        <v>8</v>
      </c>
      <c r="D14" s="141" t="s">
        <v>8</v>
      </c>
      <c r="E14" s="141" t="s">
        <v>8</v>
      </c>
      <c r="F14" s="141" t="s">
        <v>8</v>
      </c>
      <c r="G14" s="104">
        <f>'Исходные данные'!C16</f>
        <v>1088</v>
      </c>
      <c r="H14" s="31">
        <f>'Исходные данные'!D16</f>
        <v>2322723</v>
      </c>
      <c r="I14" s="32">
        <f>'Расчет КРП'!F12</f>
        <v>4.4948201718957934</v>
      </c>
      <c r="J14" s="111" t="s">
        <v>8</v>
      </c>
      <c r="K14" s="115">
        <f t="shared" si="104"/>
        <v>0.21456164616450035</v>
      </c>
      <c r="L14" s="77">
        <f t="shared" si="105"/>
        <v>1319856.8318205231</v>
      </c>
      <c r="M14" s="73">
        <f t="shared" si="106"/>
        <v>0.3364834829641849</v>
      </c>
      <c r="N14" s="30" t="s">
        <v>8</v>
      </c>
      <c r="O14" s="33">
        <f t="shared" si="107"/>
        <v>4.203407730732972E-2</v>
      </c>
      <c r="P14" s="34">
        <f t="shared" si="108"/>
        <v>704405.10846428899</v>
      </c>
      <c r="Q14" s="80">
        <f t="shared" si="109"/>
        <v>402729.11603694421</v>
      </c>
      <c r="R14" s="145" t="s">
        <v>8</v>
      </c>
      <c r="S14" s="30" t="s">
        <v>8</v>
      </c>
      <c r="T14" s="35">
        <f t="shared" si="110"/>
        <v>0.37368560396408917</v>
      </c>
      <c r="U14" s="33">
        <f t="shared" si="111"/>
        <v>6.5135496416232563E-2</v>
      </c>
      <c r="V14" s="53">
        <f t="shared" si="112"/>
        <v>1234459.1829205067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0.37368560396408917</v>
      </c>
      <c r="AA14" s="33">
        <f t="shared" si="115"/>
        <v>6.5135496416232563E-2</v>
      </c>
      <c r="AB14" s="53">
        <f t="shared" si="116"/>
        <v>1234459.1829205067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0.37368560396408917</v>
      </c>
      <c r="AG14" s="33">
        <f t="shared" si="119"/>
        <v>6.5135496416232563E-2</v>
      </c>
      <c r="AH14" s="53">
        <f t="shared" si="120"/>
        <v>1234459.1829205067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0.37368560396408917</v>
      </c>
      <c r="AM14" s="33">
        <f t="shared" si="123"/>
        <v>6.5135496416232563E-2</v>
      </c>
      <c r="AN14" s="53">
        <f t="shared" si="124"/>
        <v>1234459.1829205067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0.37368560396408917</v>
      </c>
      <c r="AS14" s="33">
        <f t="shared" si="127"/>
        <v>6.5135496416232563E-2</v>
      </c>
      <c r="AT14" s="53">
        <f t="shared" si="128"/>
        <v>1234459.1829205067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0.37368560396408917</v>
      </c>
      <c r="AY14" s="33">
        <f t="shared" si="131"/>
        <v>6.5135496416232563E-2</v>
      </c>
      <c r="AZ14" s="53">
        <f t="shared" si="132"/>
        <v>1234459.1829205067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0.37368560396408917</v>
      </c>
      <c r="BE14" s="33">
        <f t="shared" si="135"/>
        <v>6.5135496416232563E-2</v>
      </c>
      <c r="BF14" s="53">
        <f t="shared" si="136"/>
        <v>1234459.1829205067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0.37368560396408917</v>
      </c>
      <c r="BK14" s="33">
        <f t="shared" si="139"/>
        <v>6.5135496416232563E-2</v>
      </c>
      <c r="BL14" s="53">
        <f t="shared" si="140"/>
        <v>1234459.1829205067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0.37368560396408917</v>
      </c>
      <c r="BQ14" s="33">
        <f t="shared" si="143"/>
        <v>6.5135496416232563E-2</v>
      </c>
      <c r="BR14" s="53">
        <f t="shared" si="144"/>
        <v>1234459.1829205067</v>
      </c>
      <c r="BS14" s="122">
        <f t="shared" si="145"/>
        <v>0</v>
      </c>
      <c r="BT14" s="76" t="s">
        <v>8</v>
      </c>
      <c r="BU14" s="30" t="s">
        <v>8</v>
      </c>
      <c r="BV14" s="35">
        <f t="shared" si="146"/>
        <v>0.37368560396408917</v>
      </c>
      <c r="BW14" s="33">
        <f t="shared" si="147"/>
        <v>6.5135496416232563E-2</v>
      </c>
      <c r="BX14" s="53">
        <f t="shared" si="148"/>
        <v>1234459.1829205067</v>
      </c>
      <c r="BY14" s="122">
        <f t="shared" si="149"/>
        <v>0</v>
      </c>
      <c r="BZ14" s="76" t="s">
        <v>8</v>
      </c>
      <c r="CA14" s="30" t="s">
        <v>8</v>
      </c>
      <c r="CB14" s="35">
        <f t="shared" si="150"/>
        <v>0.37368560396408917</v>
      </c>
      <c r="CC14" s="33">
        <f t="shared" si="151"/>
        <v>6.5135496416232563E-2</v>
      </c>
      <c r="CD14" s="53">
        <f t="shared" si="152"/>
        <v>1234459.1829205067</v>
      </c>
      <c r="CE14" s="122">
        <f t="shared" si="153"/>
        <v>0</v>
      </c>
      <c r="CF14" s="76" t="s">
        <v>8</v>
      </c>
      <c r="CG14" s="30" t="s">
        <v>8</v>
      </c>
      <c r="CH14" s="35">
        <f t="shared" si="154"/>
        <v>0.37368560396408917</v>
      </c>
      <c r="CI14" s="33">
        <f t="shared" si="155"/>
        <v>6.5135496416232563E-2</v>
      </c>
      <c r="CJ14" s="53">
        <f t="shared" si="156"/>
        <v>1234459.1829205067</v>
      </c>
      <c r="CK14" s="122">
        <f t="shared" si="157"/>
        <v>0</v>
      </c>
      <c r="CL14" s="76" t="s">
        <v>8</v>
      </c>
      <c r="CM14" s="30" t="s">
        <v>8</v>
      </c>
      <c r="CN14" s="35">
        <f t="shared" si="158"/>
        <v>0.37368560396408917</v>
      </c>
      <c r="CO14" s="33">
        <f t="shared" si="159"/>
        <v>6.5135496416232563E-2</v>
      </c>
      <c r="CP14" s="53">
        <f t="shared" si="160"/>
        <v>1234459.1829205067</v>
      </c>
      <c r="CQ14" s="122">
        <f t="shared" si="161"/>
        <v>0</v>
      </c>
      <c r="CR14" s="76" t="s">
        <v>8</v>
      </c>
      <c r="CS14" s="30" t="s">
        <v>8</v>
      </c>
      <c r="CT14" s="35">
        <f t="shared" si="162"/>
        <v>0.37368560396408917</v>
      </c>
      <c r="CU14" s="33">
        <f t="shared" si="163"/>
        <v>6.5135496416232563E-2</v>
      </c>
      <c r="CV14" s="53">
        <f t="shared" si="164"/>
        <v>1234459.1829205067</v>
      </c>
      <c r="CW14" s="122">
        <f t="shared" si="165"/>
        <v>0</v>
      </c>
      <c r="CX14" s="76" t="s">
        <v>8</v>
      </c>
      <c r="CY14" s="30" t="s">
        <v>8</v>
      </c>
      <c r="CZ14" s="35">
        <f t="shared" si="166"/>
        <v>0.37368560396408917</v>
      </c>
      <c r="DA14" s="33">
        <f t="shared" si="167"/>
        <v>6.5135496416232563E-2</v>
      </c>
      <c r="DB14" s="53">
        <f t="shared" si="168"/>
        <v>1234459.1829205067</v>
      </c>
      <c r="DC14" s="122">
        <f t="shared" si="169"/>
        <v>0</v>
      </c>
      <c r="DD14" s="76" t="s">
        <v>8</v>
      </c>
      <c r="DE14" s="30" t="s">
        <v>8</v>
      </c>
      <c r="DF14" s="35">
        <f t="shared" si="170"/>
        <v>0.37368560396408917</v>
      </c>
      <c r="DG14" s="33">
        <f t="shared" si="171"/>
        <v>6.5135496416232563E-2</v>
      </c>
      <c r="DH14" s="53">
        <f t="shared" si="172"/>
        <v>1234459.1829205067</v>
      </c>
      <c r="DI14" s="122">
        <f t="shared" si="173"/>
        <v>0</v>
      </c>
      <c r="DJ14" s="76" t="s">
        <v>8</v>
      </c>
      <c r="DK14" s="30" t="s">
        <v>8</v>
      </c>
      <c r="DL14" s="35">
        <f t="shared" si="174"/>
        <v>0.37368560396408917</v>
      </c>
      <c r="DM14" s="33">
        <f t="shared" si="175"/>
        <v>6.5135496416232563E-2</v>
      </c>
      <c r="DN14" s="53">
        <f t="shared" si="176"/>
        <v>1234459.1829205067</v>
      </c>
      <c r="DO14" s="122">
        <f t="shared" si="177"/>
        <v>0</v>
      </c>
      <c r="DP14" s="76" t="s">
        <v>8</v>
      </c>
      <c r="DQ14" s="30" t="s">
        <v>8</v>
      </c>
      <c r="DR14" s="35">
        <f t="shared" si="178"/>
        <v>0.37368560396408917</v>
      </c>
      <c r="DS14" s="33">
        <f t="shared" si="179"/>
        <v>6.5135496416232563E-2</v>
      </c>
      <c r="DT14" s="53">
        <f t="shared" si="180"/>
        <v>1234459.1829205067</v>
      </c>
      <c r="DU14" s="122">
        <f t="shared" si="181"/>
        <v>0</v>
      </c>
      <c r="DV14" s="76" t="s">
        <v>8</v>
      </c>
      <c r="DW14" s="30" t="s">
        <v>8</v>
      </c>
      <c r="DX14" s="35">
        <f t="shared" si="182"/>
        <v>0.37368560396408917</v>
      </c>
      <c r="DY14" s="33">
        <f t="shared" si="183"/>
        <v>6.5135496416232563E-2</v>
      </c>
      <c r="DZ14" s="34">
        <f t="shared" si="184"/>
        <v>1234459.1829205067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0.37368560396408917</v>
      </c>
      <c r="EE14" s="33">
        <f t="shared" si="187"/>
        <v>6.5135496416232563E-2</v>
      </c>
      <c r="EF14" s="34">
        <f t="shared" si="188"/>
        <v>1234459.1829205067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0.37368560396408917</v>
      </c>
      <c r="EK14" s="33">
        <f t="shared" si="191"/>
        <v>6.5135496416232563E-2</v>
      </c>
      <c r="EL14" s="34">
        <f t="shared" si="192"/>
        <v>1234459.1829205067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0.37368560396408917</v>
      </c>
      <c r="EQ14" s="33">
        <f t="shared" si="195"/>
        <v>6.5135496416232563E-2</v>
      </c>
      <c r="ER14" s="34">
        <f t="shared" si="196"/>
        <v>1234459.1829205067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0.37368560396408917</v>
      </c>
      <c r="EW14" s="33">
        <f t="shared" si="199"/>
        <v>6.5135496416232563E-2</v>
      </c>
      <c r="EX14" s="34">
        <f t="shared" si="200"/>
        <v>1234459.1829205067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0.37368560396408917</v>
      </c>
      <c r="FC14" s="33">
        <f t="shared" si="203"/>
        <v>6.5135496416232563E-2</v>
      </c>
      <c r="FD14" s="34">
        <f t="shared" si="204"/>
        <v>1234459.1829205067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0.37368560396408917</v>
      </c>
      <c r="FI14" s="33">
        <f t="shared" si="207"/>
        <v>6.5135496416232563E-2</v>
      </c>
      <c r="FJ14" s="34">
        <f t="shared" si="208"/>
        <v>1234459.1829205067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0.37368560396408917</v>
      </c>
      <c r="FO14" s="33">
        <f t="shared" si="211"/>
        <v>6.5135496416232563E-2</v>
      </c>
      <c r="FP14" s="34">
        <f t="shared" si="212"/>
        <v>1234459.1829205067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0.37368560396408917</v>
      </c>
      <c r="FU14" s="33">
        <f t="shared" si="215"/>
        <v>6.5135496416232563E-2</v>
      </c>
      <c r="FV14" s="34">
        <f t="shared" si="216"/>
        <v>1234459.1829205067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0.37368560396408917</v>
      </c>
      <c r="GA14" s="33">
        <f t="shared" si="219"/>
        <v>6.5135496416232563E-2</v>
      </c>
      <c r="GB14" s="34">
        <f t="shared" si="220"/>
        <v>1234459.1829205067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0.37368560396408917</v>
      </c>
      <c r="GG14" s="33">
        <f t="shared" si="223"/>
        <v>6.5135496416232563E-2</v>
      </c>
      <c r="GH14" s="34">
        <f t="shared" si="224"/>
        <v>1234459.1829205067</v>
      </c>
      <c r="GI14" s="122">
        <f t="shared" si="225"/>
        <v>0</v>
      </c>
      <c r="GJ14" s="151">
        <f t="shared" si="228"/>
        <v>402729.11603694421</v>
      </c>
      <c r="GK14" s="95">
        <f>L14+GJ14</f>
        <v>1722585.9478574675</v>
      </c>
      <c r="GL14" s="185">
        <f t="shared" si="227"/>
        <v>0.37368560396408923</v>
      </c>
      <c r="GM14" s="192"/>
    </row>
    <row r="15" spans="1:195" s="25" customFormat="1" ht="37.5" x14ac:dyDescent="0.3">
      <c r="A15" s="167" t="s">
        <v>198</v>
      </c>
      <c r="B15" s="141" t="s">
        <v>8</v>
      </c>
      <c r="C15" s="141" t="s">
        <v>8</v>
      </c>
      <c r="D15" s="141" t="s">
        <v>8</v>
      </c>
      <c r="E15" s="141" t="s">
        <v>8</v>
      </c>
      <c r="F15" s="141" t="s">
        <v>8</v>
      </c>
      <c r="G15" s="104">
        <f>'Исходные данные'!C17</f>
        <v>1641</v>
      </c>
      <c r="H15" s="31">
        <f>'Исходные данные'!D17</f>
        <v>2544688</v>
      </c>
      <c r="I15" s="32">
        <f>'Расчет КРП'!F13</f>
        <v>4.9446641407244263</v>
      </c>
      <c r="J15" s="111" t="s">
        <v>8</v>
      </c>
      <c r="K15" s="115">
        <f t="shared" si="104"/>
        <v>0.14167233483056452</v>
      </c>
      <c r="L15" s="77">
        <f t="shared" si="105"/>
        <v>1990703.1810822412</v>
      </c>
      <c r="M15" s="73">
        <f t="shared" si="106"/>
        <v>0.25250225489092287</v>
      </c>
      <c r="N15" s="30" t="s">
        <v>8</v>
      </c>
      <c r="O15" s="33">
        <f t="shared" si="107"/>
        <v>0.12601530538059175</v>
      </c>
      <c r="P15" s="34">
        <f t="shared" si="108"/>
        <v>3503873.6496197083</v>
      </c>
      <c r="Q15" s="80">
        <f t="shared" si="109"/>
        <v>2003267.6093064216</v>
      </c>
      <c r="R15" s="145" t="s">
        <v>8</v>
      </c>
      <c r="S15" s="30" t="s">
        <v>8</v>
      </c>
      <c r="T15" s="35">
        <f t="shared" si="110"/>
        <v>0.36403168384287443</v>
      </c>
      <c r="U15" s="33">
        <f t="shared" si="111"/>
        <v>7.4789416537447306E-2</v>
      </c>
      <c r="V15" s="53">
        <f t="shared" si="112"/>
        <v>2351815.8609885462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0.36403168384287443</v>
      </c>
      <c r="AA15" s="33">
        <f t="shared" si="115"/>
        <v>7.4789416537447306E-2</v>
      </c>
      <c r="AB15" s="53">
        <f t="shared" si="116"/>
        <v>2351815.8609885462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0.36403168384287443</v>
      </c>
      <c r="AG15" s="33">
        <f t="shared" si="119"/>
        <v>7.4789416537447306E-2</v>
      </c>
      <c r="AH15" s="53">
        <f t="shared" si="120"/>
        <v>2351815.8609885462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0.36403168384287443</v>
      </c>
      <c r="AM15" s="33">
        <f t="shared" si="123"/>
        <v>7.4789416537447306E-2</v>
      </c>
      <c r="AN15" s="53">
        <f t="shared" si="124"/>
        <v>2351815.8609885462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0.36403168384287443</v>
      </c>
      <c r="AS15" s="33">
        <f t="shared" si="127"/>
        <v>7.4789416537447306E-2</v>
      </c>
      <c r="AT15" s="53">
        <f t="shared" si="128"/>
        <v>2351815.8609885462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0.36403168384287443</v>
      </c>
      <c r="AY15" s="33">
        <f t="shared" si="131"/>
        <v>7.4789416537447306E-2</v>
      </c>
      <c r="AZ15" s="53">
        <f t="shared" si="132"/>
        <v>2351815.8609885462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0.36403168384287443</v>
      </c>
      <c r="BE15" s="33">
        <f t="shared" si="135"/>
        <v>7.4789416537447306E-2</v>
      </c>
      <c r="BF15" s="53">
        <f t="shared" si="136"/>
        <v>2351815.8609885462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0.36403168384287443</v>
      </c>
      <c r="BK15" s="33">
        <f t="shared" si="139"/>
        <v>7.4789416537447306E-2</v>
      </c>
      <c r="BL15" s="53">
        <f t="shared" si="140"/>
        <v>2351815.8609885462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0.36403168384287443</v>
      </c>
      <c r="BQ15" s="33">
        <f t="shared" si="143"/>
        <v>7.4789416537447306E-2</v>
      </c>
      <c r="BR15" s="53">
        <f t="shared" si="144"/>
        <v>2351815.8609885462</v>
      </c>
      <c r="BS15" s="122">
        <f t="shared" si="145"/>
        <v>0</v>
      </c>
      <c r="BT15" s="76" t="s">
        <v>8</v>
      </c>
      <c r="BU15" s="30" t="s">
        <v>8</v>
      </c>
      <c r="BV15" s="35">
        <f t="shared" si="146"/>
        <v>0.36403168384287443</v>
      </c>
      <c r="BW15" s="33">
        <f t="shared" si="147"/>
        <v>7.4789416537447306E-2</v>
      </c>
      <c r="BX15" s="53">
        <f t="shared" si="148"/>
        <v>2351815.8609885462</v>
      </c>
      <c r="BY15" s="122">
        <f t="shared" si="149"/>
        <v>0</v>
      </c>
      <c r="BZ15" s="76" t="s">
        <v>8</v>
      </c>
      <c r="CA15" s="30" t="s">
        <v>8</v>
      </c>
      <c r="CB15" s="35">
        <f t="shared" si="150"/>
        <v>0.36403168384287443</v>
      </c>
      <c r="CC15" s="33">
        <f t="shared" si="151"/>
        <v>7.4789416537447306E-2</v>
      </c>
      <c r="CD15" s="53">
        <f t="shared" si="152"/>
        <v>2351815.8609885462</v>
      </c>
      <c r="CE15" s="122">
        <f t="shared" si="153"/>
        <v>0</v>
      </c>
      <c r="CF15" s="76" t="s">
        <v>8</v>
      </c>
      <c r="CG15" s="30" t="s">
        <v>8</v>
      </c>
      <c r="CH15" s="35">
        <f t="shared" si="154"/>
        <v>0.36403168384287443</v>
      </c>
      <c r="CI15" s="33">
        <f t="shared" si="155"/>
        <v>7.4789416537447306E-2</v>
      </c>
      <c r="CJ15" s="53">
        <f t="shared" si="156"/>
        <v>2351815.8609885462</v>
      </c>
      <c r="CK15" s="122">
        <f t="shared" si="157"/>
        <v>0</v>
      </c>
      <c r="CL15" s="76" t="s">
        <v>8</v>
      </c>
      <c r="CM15" s="30" t="s">
        <v>8</v>
      </c>
      <c r="CN15" s="35">
        <f t="shared" si="158"/>
        <v>0.36403168384287443</v>
      </c>
      <c r="CO15" s="33">
        <f t="shared" si="159"/>
        <v>7.4789416537447306E-2</v>
      </c>
      <c r="CP15" s="53">
        <f t="shared" si="160"/>
        <v>2351815.8609885462</v>
      </c>
      <c r="CQ15" s="122">
        <f t="shared" si="161"/>
        <v>0</v>
      </c>
      <c r="CR15" s="76" t="s">
        <v>8</v>
      </c>
      <c r="CS15" s="30" t="s">
        <v>8</v>
      </c>
      <c r="CT15" s="35">
        <f t="shared" si="162"/>
        <v>0.36403168384287443</v>
      </c>
      <c r="CU15" s="33">
        <f t="shared" si="163"/>
        <v>7.4789416537447306E-2</v>
      </c>
      <c r="CV15" s="53">
        <f t="shared" si="164"/>
        <v>2351815.8609885462</v>
      </c>
      <c r="CW15" s="122">
        <f t="shared" si="165"/>
        <v>0</v>
      </c>
      <c r="CX15" s="76" t="s">
        <v>8</v>
      </c>
      <c r="CY15" s="30" t="s">
        <v>8</v>
      </c>
      <c r="CZ15" s="35">
        <f t="shared" si="166"/>
        <v>0.36403168384287443</v>
      </c>
      <c r="DA15" s="33">
        <f t="shared" si="167"/>
        <v>7.4789416537447306E-2</v>
      </c>
      <c r="DB15" s="53">
        <f t="shared" si="168"/>
        <v>2351815.8609885462</v>
      </c>
      <c r="DC15" s="122">
        <f t="shared" si="169"/>
        <v>0</v>
      </c>
      <c r="DD15" s="76" t="s">
        <v>8</v>
      </c>
      <c r="DE15" s="30" t="s">
        <v>8</v>
      </c>
      <c r="DF15" s="35">
        <f t="shared" si="170"/>
        <v>0.36403168384287443</v>
      </c>
      <c r="DG15" s="33">
        <f t="shared" si="171"/>
        <v>7.4789416537447306E-2</v>
      </c>
      <c r="DH15" s="53">
        <f t="shared" si="172"/>
        <v>2351815.8609885462</v>
      </c>
      <c r="DI15" s="122">
        <f t="shared" si="173"/>
        <v>0</v>
      </c>
      <c r="DJ15" s="76" t="s">
        <v>8</v>
      </c>
      <c r="DK15" s="30" t="s">
        <v>8</v>
      </c>
      <c r="DL15" s="35">
        <f t="shared" si="174"/>
        <v>0.36403168384287443</v>
      </c>
      <c r="DM15" s="33">
        <f t="shared" si="175"/>
        <v>7.4789416537447306E-2</v>
      </c>
      <c r="DN15" s="53">
        <f t="shared" si="176"/>
        <v>2351815.8609885462</v>
      </c>
      <c r="DO15" s="122">
        <f t="shared" si="177"/>
        <v>0</v>
      </c>
      <c r="DP15" s="76" t="s">
        <v>8</v>
      </c>
      <c r="DQ15" s="30" t="s">
        <v>8</v>
      </c>
      <c r="DR15" s="35">
        <f t="shared" si="178"/>
        <v>0.36403168384287443</v>
      </c>
      <c r="DS15" s="33">
        <f t="shared" si="179"/>
        <v>7.4789416537447306E-2</v>
      </c>
      <c r="DT15" s="53">
        <f t="shared" si="180"/>
        <v>2351815.8609885462</v>
      </c>
      <c r="DU15" s="122">
        <f t="shared" si="181"/>
        <v>0</v>
      </c>
      <c r="DV15" s="76" t="s">
        <v>8</v>
      </c>
      <c r="DW15" s="30" t="s">
        <v>8</v>
      </c>
      <c r="DX15" s="35">
        <f t="shared" si="182"/>
        <v>0.36403168384287443</v>
      </c>
      <c r="DY15" s="33">
        <f t="shared" si="183"/>
        <v>7.4789416537447306E-2</v>
      </c>
      <c r="DZ15" s="34">
        <f t="shared" si="184"/>
        <v>2351815.8609885462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0.36403168384287443</v>
      </c>
      <c r="EE15" s="33">
        <f t="shared" si="187"/>
        <v>7.4789416537447306E-2</v>
      </c>
      <c r="EF15" s="34">
        <f t="shared" si="188"/>
        <v>2351815.8609885462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0.36403168384287443</v>
      </c>
      <c r="EK15" s="33">
        <f t="shared" si="191"/>
        <v>7.4789416537447306E-2</v>
      </c>
      <c r="EL15" s="34">
        <f t="shared" si="192"/>
        <v>2351815.8609885462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0.36403168384287443</v>
      </c>
      <c r="EQ15" s="33">
        <f t="shared" si="195"/>
        <v>7.4789416537447306E-2</v>
      </c>
      <c r="ER15" s="34">
        <f t="shared" si="196"/>
        <v>2351815.8609885462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0.36403168384287443</v>
      </c>
      <c r="EW15" s="33">
        <f t="shared" si="199"/>
        <v>7.4789416537447306E-2</v>
      </c>
      <c r="EX15" s="34">
        <f t="shared" si="200"/>
        <v>2351815.8609885462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0.36403168384287443</v>
      </c>
      <c r="FC15" s="33">
        <f t="shared" si="203"/>
        <v>7.4789416537447306E-2</v>
      </c>
      <c r="FD15" s="34">
        <f t="shared" si="204"/>
        <v>2351815.8609885462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0.36403168384287443</v>
      </c>
      <c r="FI15" s="33">
        <f t="shared" si="207"/>
        <v>7.4789416537447306E-2</v>
      </c>
      <c r="FJ15" s="34">
        <f t="shared" si="208"/>
        <v>2351815.8609885462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0.36403168384287443</v>
      </c>
      <c r="FO15" s="33">
        <f t="shared" si="211"/>
        <v>7.4789416537447306E-2</v>
      </c>
      <c r="FP15" s="34">
        <f t="shared" si="212"/>
        <v>2351815.8609885462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0.36403168384287443</v>
      </c>
      <c r="FU15" s="33">
        <f t="shared" si="215"/>
        <v>7.4789416537447306E-2</v>
      </c>
      <c r="FV15" s="34">
        <f t="shared" si="216"/>
        <v>2351815.8609885462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0.36403168384287443</v>
      </c>
      <c r="GA15" s="33">
        <f t="shared" si="219"/>
        <v>7.4789416537447306E-2</v>
      </c>
      <c r="GB15" s="34">
        <f t="shared" si="220"/>
        <v>2351815.8609885462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0.36403168384287443</v>
      </c>
      <c r="GG15" s="33">
        <f t="shared" si="223"/>
        <v>7.4789416537447306E-2</v>
      </c>
      <c r="GH15" s="34">
        <f t="shared" si="224"/>
        <v>2351815.8609885462</v>
      </c>
      <c r="GI15" s="122">
        <f t="shared" si="225"/>
        <v>0</v>
      </c>
      <c r="GJ15" s="151">
        <f t="shared" si="228"/>
        <v>2003267.6093064216</v>
      </c>
      <c r="GK15" s="95">
        <f t="shared" si="226"/>
        <v>3993970.7903886628</v>
      </c>
      <c r="GL15" s="185">
        <f t="shared" si="227"/>
        <v>0.36403168384287443</v>
      </c>
      <c r="GM15" s="190"/>
    </row>
    <row r="16" spans="1:195" s="25" customFormat="1" ht="37.5" x14ac:dyDescent="0.3">
      <c r="A16" s="167" t="s">
        <v>199</v>
      </c>
      <c r="B16" s="141" t="s">
        <v>8</v>
      </c>
      <c r="C16" s="141" t="s">
        <v>8</v>
      </c>
      <c r="D16" s="141" t="s">
        <v>8</v>
      </c>
      <c r="E16" s="141" t="s">
        <v>8</v>
      </c>
      <c r="F16" s="141" t="s">
        <v>8</v>
      </c>
      <c r="G16" s="104">
        <f>'Исходные данные'!C18</f>
        <v>1169</v>
      </c>
      <c r="H16" s="31">
        <f>'Исходные данные'!D18</f>
        <v>1962468</v>
      </c>
      <c r="I16" s="32">
        <f>'Расчет КРП'!F14</f>
        <v>4.8209023657463641</v>
      </c>
      <c r="J16" s="111" t="s">
        <v>8</v>
      </c>
      <c r="K16" s="115">
        <f t="shared" si="104"/>
        <v>0.15730974435630385</v>
      </c>
      <c r="L16" s="77">
        <f t="shared" si="105"/>
        <v>1418118.2319836318</v>
      </c>
      <c r="M16" s="73">
        <f t="shared" si="106"/>
        <v>0.27098488022621808</v>
      </c>
      <c r="N16" s="30" t="s">
        <v>8</v>
      </c>
      <c r="O16" s="33">
        <f t="shared" si="107"/>
        <v>0.10753268004529654</v>
      </c>
      <c r="P16" s="34">
        <f t="shared" si="108"/>
        <v>2076648.9117909085</v>
      </c>
      <c r="Q16" s="80">
        <f t="shared" si="109"/>
        <v>1187281.2540896467</v>
      </c>
      <c r="R16" s="145" t="s">
        <v>8</v>
      </c>
      <c r="S16" s="30" t="s">
        <v>8</v>
      </c>
      <c r="T16" s="35">
        <f t="shared" si="110"/>
        <v>0.36615632279744681</v>
      </c>
      <c r="U16" s="33">
        <f t="shared" si="111"/>
        <v>7.2664777582874929E-2</v>
      </c>
      <c r="V16" s="53">
        <f t="shared" si="112"/>
        <v>1587027.9907182965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0.36615632279744681</v>
      </c>
      <c r="AA16" s="33">
        <f t="shared" si="115"/>
        <v>7.2664777582874929E-2</v>
      </c>
      <c r="AB16" s="53">
        <f t="shared" si="116"/>
        <v>1587027.9907182965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0.36615632279744681</v>
      </c>
      <c r="AG16" s="33">
        <f t="shared" si="119"/>
        <v>7.2664777582874929E-2</v>
      </c>
      <c r="AH16" s="53">
        <f t="shared" si="120"/>
        <v>1587027.9907182965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0.36615632279744681</v>
      </c>
      <c r="AM16" s="33">
        <f t="shared" si="123"/>
        <v>7.2664777582874929E-2</v>
      </c>
      <c r="AN16" s="53">
        <f t="shared" si="124"/>
        <v>1587027.9907182965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0.36615632279744681</v>
      </c>
      <c r="AS16" s="33">
        <f t="shared" si="127"/>
        <v>7.2664777582874929E-2</v>
      </c>
      <c r="AT16" s="53">
        <f t="shared" si="128"/>
        <v>1587027.9907182965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0.36615632279744681</v>
      </c>
      <c r="AY16" s="33">
        <f t="shared" si="131"/>
        <v>7.2664777582874929E-2</v>
      </c>
      <c r="AZ16" s="53">
        <f t="shared" si="132"/>
        <v>1587027.9907182965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0.36615632279744681</v>
      </c>
      <c r="BE16" s="33">
        <f t="shared" si="135"/>
        <v>7.2664777582874929E-2</v>
      </c>
      <c r="BF16" s="53">
        <f t="shared" si="136"/>
        <v>1587027.9907182965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0.36615632279744681</v>
      </c>
      <c r="BK16" s="33">
        <f t="shared" si="139"/>
        <v>7.2664777582874929E-2</v>
      </c>
      <c r="BL16" s="53">
        <f t="shared" si="140"/>
        <v>1587027.9907182965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0.36615632279744681</v>
      </c>
      <c r="BQ16" s="33">
        <f t="shared" si="143"/>
        <v>7.2664777582874929E-2</v>
      </c>
      <c r="BR16" s="53">
        <f t="shared" si="144"/>
        <v>1587027.9907182965</v>
      </c>
      <c r="BS16" s="122">
        <f t="shared" si="145"/>
        <v>0</v>
      </c>
      <c r="BT16" s="76" t="s">
        <v>8</v>
      </c>
      <c r="BU16" s="30" t="s">
        <v>8</v>
      </c>
      <c r="BV16" s="35">
        <f t="shared" si="146"/>
        <v>0.36615632279744681</v>
      </c>
      <c r="BW16" s="33">
        <f t="shared" si="147"/>
        <v>7.2664777582874929E-2</v>
      </c>
      <c r="BX16" s="53">
        <f t="shared" si="148"/>
        <v>1587027.9907182965</v>
      </c>
      <c r="BY16" s="122">
        <f t="shared" si="149"/>
        <v>0</v>
      </c>
      <c r="BZ16" s="76" t="s">
        <v>8</v>
      </c>
      <c r="CA16" s="30" t="s">
        <v>8</v>
      </c>
      <c r="CB16" s="35">
        <f t="shared" si="150"/>
        <v>0.36615632279744681</v>
      </c>
      <c r="CC16" s="33">
        <f t="shared" si="151"/>
        <v>7.2664777582874929E-2</v>
      </c>
      <c r="CD16" s="53">
        <f t="shared" si="152"/>
        <v>1587027.9907182965</v>
      </c>
      <c r="CE16" s="122">
        <f t="shared" si="153"/>
        <v>0</v>
      </c>
      <c r="CF16" s="76" t="s">
        <v>8</v>
      </c>
      <c r="CG16" s="30" t="s">
        <v>8</v>
      </c>
      <c r="CH16" s="35">
        <f t="shared" si="154"/>
        <v>0.36615632279744681</v>
      </c>
      <c r="CI16" s="33">
        <f t="shared" si="155"/>
        <v>7.2664777582874929E-2</v>
      </c>
      <c r="CJ16" s="53">
        <f t="shared" si="156"/>
        <v>1587027.9907182965</v>
      </c>
      <c r="CK16" s="122">
        <f t="shared" si="157"/>
        <v>0</v>
      </c>
      <c r="CL16" s="76" t="s">
        <v>8</v>
      </c>
      <c r="CM16" s="30" t="s">
        <v>8</v>
      </c>
      <c r="CN16" s="35">
        <f t="shared" si="158"/>
        <v>0.36615632279744681</v>
      </c>
      <c r="CO16" s="33">
        <f t="shared" si="159"/>
        <v>7.2664777582874929E-2</v>
      </c>
      <c r="CP16" s="53">
        <f t="shared" si="160"/>
        <v>1587027.9907182965</v>
      </c>
      <c r="CQ16" s="122">
        <f t="shared" si="161"/>
        <v>0</v>
      </c>
      <c r="CR16" s="76" t="s">
        <v>8</v>
      </c>
      <c r="CS16" s="30" t="s">
        <v>8</v>
      </c>
      <c r="CT16" s="35">
        <f t="shared" si="162"/>
        <v>0.36615632279744681</v>
      </c>
      <c r="CU16" s="33">
        <f t="shared" si="163"/>
        <v>7.2664777582874929E-2</v>
      </c>
      <c r="CV16" s="53">
        <f t="shared" si="164"/>
        <v>1587027.9907182965</v>
      </c>
      <c r="CW16" s="122">
        <f t="shared" si="165"/>
        <v>0</v>
      </c>
      <c r="CX16" s="76" t="s">
        <v>8</v>
      </c>
      <c r="CY16" s="30" t="s">
        <v>8</v>
      </c>
      <c r="CZ16" s="35">
        <f t="shared" si="166"/>
        <v>0.36615632279744681</v>
      </c>
      <c r="DA16" s="33">
        <f t="shared" si="167"/>
        <v>7.2664777582874929E-2</v>
      </c>
      <c r="DB16" s="53">
        <f t="shared" si="168"/>
        <v>1587027.9907182965</v>
      </c>
      <c r="DC16" s="122">
        <f t="shared" si="169"/>
        <v>0</v>
      </c>
      <c r="DD16" s="76" t="s">
        <v>8</v>
      </c>
      <c r="DE16" s="30" t="s">
        <v>8</v>
      </c>
      <c r="DF16" s="35">
        <f t="shared" si="170"/>
        <v>0.36615632279744681</v>
      </c>
      <c r="DG16" s="33">
        <f t="shared" si="171"/>
        <v>7.2664777582874929E-2</v>
      </c>
      <c r="DH16" s="53">
        <f t="shared" si="172"/>
        <v>1587027.9907182965</v>
      </c>
      <c r="DI16" s="122">
        <f t="shared" si="173"/>
        <v>0</v>
      </c>
      <c r="DJ16" s="76" t="s">
        <v>8</v>
      </c>
      <c r="DK16" s="30" t="s">
        <v>8</v>
      </c>
      <c r="DL16" s="35">
        <f t="shared" si="174"/>
        <v>0.36615632279744681</v>
      </c>
      <c r="DM16" s="33">
        <f t="shared" si="175"/>
        <v>7.2664777582874929E-2</v>
      </c>
      <c r="DN16" s="53">
        <f t="shared" si="176"/>
        <v>1587027.9907182965</v>
      </c>
      <c r="DO16" s="122">
        <f t="shared" si="177"/>
        <v>0</v>
      </c>
      <c r="DP16" s="76" t="s">
        <v>8</v>
      </c>
      <c r="DQ16" s="30" t="s">
        <v>8</v>
      </c>
      <c r="DR16" s="35">
        <f t="shared" si="178"/>
        <v>0.36615632279744681</v>
      </c>
      <c r="DS16" s="33">
        <f t="shared" si="179"/>
        <v>7.2664777582874929E-2</v>
      </c>
      <c r="DT16" s="53">
        <f t="shared" si="180"/>
        <v>1587027.9907182965</v>
      </c>
      <c r="DU16" s="122">
        <f t="shared" si="181"/>
        <v>0</v>
      </c>
      <c r="DV16" s="76" t="s">
        <v>8</v>
      </c>
      <c r="DW16" s="30" t="s">
        <v>8</v>
      </c>
      <c r="DX16" s="35">
        <f t="shared" si="182"/>
        <v>0.36615632279744681</v>
      </c>
      <c r="DY16" s="33">
        <f t="shared" si="183"/>
        <v>7.2664777582874929E-2</v>
      </c>
      <c r="DZ16" s="34">
        <f t="shared" si="184"/>
        <v>1587027.9907182965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0.36615632279744681</v>
      </c>
      <c r="EE16" s="33">
        <f t="shared" si="187"/>
        <v>7.2664777582874929E-2</v>
      </c>
      <c r="EF16" s="34">
        <f t="shared" si="188"/>
        <v>1587027.9907182965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0.36615632279744681</v>
      </c>
      <c r="EK16" s="33">
        <f t="shared" si="191"/>
        <v>7.2664777582874929E-2</v>
      </c>
      <c r="EL16" s="34">
        <f t="shared" si="192"/>
        <v>1587027.9907182965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0.36615632279744681</v>
      </c>
      <c r="EQ16" s="33">
        <f t="shared" si="195"/>
        <v>7.2664777582874929E-2</v>
      </c>
      <c r="ER16" s="34">
        <f t="shared" si="196"/>
        <v>1587027.9907182965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0.36615632279744681</v>
      </c>
      <c r="EW16" s="33">
        <f t="shared" si="199"/>
        <v>7.2664777582874929E-2</v>
      </c>
      <c r="EX16" s="34">
        <f t="shared" si="200"/>
        <v>1587027.9907182965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0.36615632279744681</v>
      </c>
      <c r="FC16" s="33">
        <f t="shared" si="203"/>
        <v>7.2664777582874929E-2</v>
      </c>
      <c r="FD16" s="34">
        <f t="shared" si="204"/>
        <v>1587027.9907182965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0.36615632279744681</v>
      </c>
      <c r="FI16" s="33">
        <f t="shared" si="207"/>
        <v>7.2664777582874929E-2</v>
      </c>
      <c r="FJ16" s="34">
        <f t="shared" si="208"/>
        <v>1587027.9907182965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0.36615632279744681</v>
      </c>
      <c r="FO16" s="33">
        <f t="shared" si="211"/>
        <v>7.2664777582874929E-2</v>
      </c>
      <c r="FP16" s="34">
        <f t="shared" si="212"/>
        <v>1587027.9907182965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0.36615632279744681</v>
      </c>
      <c r="FU16" s="33">
        <f t="shared" si="215"/>
        <v>7.2664777582874929E-2</v>
      </c>
      <c r="FV16" s="34">
        <f t="shared" si="216"/>
        <v>1587027.9907182965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0.36615632279744681</v>
      </c>
      <c r="GA16" s="33">
        <f t="shared" si="219"/>
        <v>7.2664777582874929E-2</v>
      </c>
      <c r="GB16" s="34">
        <f t="shared" si="220"/>
        <v>1587027.9907182965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0.36615632279744681</v>
      </c>
      <c r="GG16" s="33">
        <f t="shared" si="223"/>
        <v>7.2664777582874929E-2</v>
      </c>
      <c r="GH16" s="34">
        <f t="shared" si="224"/>
        <v>1587027.9907182965</v>
      </c>
      <c r="GI16" s="122">
        <f t="shared" si="225"/>
        <v>0</v>
      </c>
      <c r="GJ16" s="151">
        <f t="shared" si="228"/>
        <v>1187281.2540896467</v>
      </c>
      <c r="GK16" s="95">
        <f>L16+GJ16-0.01</f>
        <v>2605399.476073279</v>
      </c>
      <c r="GL16" s="185">
        <f t="shared" si="227"/>
        <v>0.36615632199585546</v>
      </c>
      <c r="GM16" s="193">
        <v>-0.01</v>
      </c>
    </row>
    <row r="17" spans="1:195" s="25" customFormat="1" ht="37.5" x14ac:dyDescent="0.3">
      <c r="A17" s="167" t="s">
        <v>200</v>
      </c>
      <c r="B17" s="141" t="s">
        <v>8</v>
      </c>
      <c r="C17" s="141" t="s">
        <v>8</v>
      </c>
      <c r="D17" s="141" t="s">
        <v>8</v>
      </c>
      <c r="E17" s="141" t="s">
        <v>8</v>
      </c>
      <c r="F17" s="141" t="s">
        <v>8</v>
      </c>
      <c r="G17" s="104">
        <f>'Исходные данные'!C19</f>
        <v>1259</v>
      </c>
      <c r="H17" s="31">
        <f>'Исходные данные'!D19</f>
        <v>2886114</v>
      </c>
      <c r="I17" s="32">
        <f>'Расчет КРП'!F15</f>
        <v>4.4931931764692212</v>
      </c>
      <c r="J17" s="111" t="s">
        <v>8</v>
      </c>
      <c r="K17" s="115">
        <f t="shared" si="104"/>
        <v>0.23047750792387256</v>
      </c>
      <c r="L17" s="77">
        <f t="shared" si="105"/>
        <v>1527297.5654981972</v>
      </c>
      <c r="M17" s="73">
        <f t="shared" si="106"/>
        <v>0.35244349289682303</v>
      </c>
      <c r="N17" s="30" t="s">
        <v>8</v>
      </c>
      <c r="O17" s="33">
        <f t="shared" si="107"/>
        <v>2.607406737469159E-2</v>
      </c>
      <c r="P17" s="34">
        <f t="shared" si="108"/>
        <v>505439.71752030804</v>
      </c>
      <c r="Q17" s="80">
        <f t="shared" si="109"/>
        <v>288974.75075201847</v>
      </c>
      <c r="R17" s="145" t="s">
        <v>8</v>
      </c>
      <c r="S17" s="30" t="s">
        <v>8</v>
      </c>
      <c r="T17" s="35">
        <f t="shared" si="110"/>
        <v>0.3755202599289803</v>
      </c>
      <c r="U17" s="33">
        <f t="shared" si="111"/>
        <v>6.3300840451341434E-2</v>
      </c>
      <c r="V17" s="53">
        <f t="shared" si="112"/>
        <v>1387739.9399481623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0.3755202599289803</v>
      </c>
      <c r="AA17" s="33">
        <f t="shared" si="115"/>
        <v>6.3300840451341434E-2</v>
      </c>
      <c r="AB17" s="53">
        <f t="shared" si="116"/>
        <v>1387739.9399481623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0.3755202599289803</v>
      </c>
      <c r="AG17" s="33">
        <f t="shared" si="119"/>
        <v>6.3300840451341434E-2</v>
      </c>
      <c r="AH17" s="53">
        <f t="shared" si="120"/>
        <v>1387739.9399481623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0.3755202599289803</v>
      </c>
      <c r="AM17" s="33">
        <f t="shared" si="123"/>
        <v>6.3300840451341434E-2</v>
      </c>
      <c r="AN17" s="53">
        <f t="shared" si="124"/>
        <v>1387739.9399481623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0.3755202599289803</v>
      </c>
      <c r="AS17" s="33">
        <f t="shared" si="127"/>
        <v>6.3300840451341434E-2</v>
      </c>
      <c r="AT17" s="53">
        <f t="shared" si="128"/>
        <v>1387739.9399481623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0.3755202599289803</v>
      </c>
      <c r="AY17" s="33">
        <f t="shared" si="131"/>
        <v>6.3300840451341434E-2</v>
      </c>
      <c r="AZ17" s="53">
        <f t="shared" si="132"/>
        <v>1387739.9399481623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0.3755202599289803</v>
      </c>
      <c r="BE17" s="33">
        <f t="shared" si="135"/>
        <v>6.3300840451341434E-2</v>
      </c>
      <c r="BF17" s="53">
        <f t="shared" si="136"/>
        <v>1387739.9399481623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0.3755202599289803</v>
      </c>
      <c r="BK17" s="33">
        <f t="shared" si="139"/>
        <v>6.3300840451341434E-2</v>
      </c>
      <c r="BL17" s="53">
        <f t="shared" si="140"/>
        <v>1387739.9399481623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0.3755202599289803</v>
      </c>
      <c r="BQ17" s="33">
        <f t="shared" si="143"/>
        <v>6.3300840451341434E-2</v>
      </c>
      <c r="BR17" s="53">
        <f t="shared" si="144"/>
        <v>1387739.9399481623</v>
      </c>
      <c r="BS17" s="122">
        <f t="shared" si="145"/>
        <v>0</v>
      </c>
      <c r="BT17" s="76" t="s">
        <v>8</v>
      </c>
      <c r="BU17" s="30" t="s">
        <v>8</v>
      </c>
      <c r="BV17" s="35">
        <f t="shared" si="146"/>
        <v>0.3755202599289803</v>
      </c>
      <c r="BW17" s="33">
        <f t="shared" si="147"/>
        <v>6.3300840451341434E-2</v>
      </c>
      <c r="BX17" s="53">
        <f t="shared" si="148"/>
        <v>1387739.9399481623</v>
      </c>
      <c r="BY17" s="122">
        <f t="shared" si="149"/>
        <v>0</v>
      </c>
      <c r="BZ17" s="76" t="s">
        <v>8</v>
      </c>
      <c r="CA17" s="30" t="s">
        <v>8</v>
      </c>
      <c r="CB17" s="35">
        <f t="shared" si="150"/>
        <v>0.3755202599289803</v>
      </c>
      <c r="CC17" s="33">
        <f t="shared" si="151"/>
        <v>6.3300840451341434E-2</v>
      </c>
      <c r="CD17" s="53">
        <f t="shared" si="152"/>
        <v>1387739.9399481623</v>
      </c>
      <c r="CE17" s="122">
        <f t="shared" si="153"/>
        <v>0</v>
      </c>
      <c r="CF17" s="76" t="s">
        <v>8</v>
      </c>
      <c r="CG17" s="30" t="s">
        <v>8</v>
      </c>
      <c r="CH17" s="35">
        <f t="shared" si="154"/>
        <v>0.3755202599289803</v>
      </c>
      <c r="CI17" s="33">
        <f t="shared" si="155"/>
        <v>6.3300840451341434E-2</v>
      </c>
      <c r="CJ17" s="53">
        <f t="shared" si="156"/>
        <v>1387739.9399481623</v>
      </c>
      <c r="CK17" s="122">
        <f t="shared" si="157"/>
        <v>0</v>
      </c>
      <c r="CL17" s="76" t="s">
        <v>8</v>
      </c>
      <c r="CM17" s="30" t="s">
        <v>8</v>
      </c>
      <c r="CN17" s="35">
        <f t="shared" si="158"/>
        <v>0.3755202599289803</v>
      </c>
      <c r="CO17" s="33">
        <f t="shared" si="159"/>
        <v>6.3300840451341434E-2</v>
      </c>
      <c r="CP17" s="53">
        <f t="shared" si="160"/>
        <v>1387739.9399481623</v>
      </c>
      <c r="CQ17" s="122">
        <f t="shared" si="161"/>
        <v>0</v>
      </c>
      <c r="CR17" s="76" t="s">
        <v>8</v>
      </c>
      <c r="CS17" s="30" t="s">
        <v>8</v>
      </c>
      <c r="CT17" s="35">
        <f t="shared" si="162"/>
        <v>0.3755202599289803</v>
      </c>
      <c r="CU17" s="33">
        <f t="shared" si="163"/>
        <v>6.3300840451341434E-2</v>
      </c>
      <c r="CV17" s="53">
        <f t="shared" si="164"/>
        <v>1387739.9399481623</v>
      </c>
      <c r="CW17" s="122">
        <f t="shared" si="165"/>
        <v>0</v>
      </c>
      <c r="CX17" s="76" t="s">
        <v>8</v>
      </c>
      <c r="CY17" s="30" t="s">
        <v>8</v>
      </c>
      <c r="CZ17" s="35">
        <f t="shared" si="166"/>
        <v>0.3755202599289803</v>
      </c>
      <c r="DA17" s="33">
        <f t="shared" si="167"/>
        <v>6.3300840451341434E-2</v>
      </c>
      <c r="DB17" s="53">
        <f t="shared" si="168"/>
        <v>1387739.9399481623</v>
      </c>
      <c r="DC17" s="122">
        <f t="shared" si="169"/>
        <v>0</v>
      </c>
      <c r="DD17" s="76" t="s">
        <v>8</v>
      </c>
      <c r="DE17" s="30" t="s">
        <v>8</v>
      </c>
      <c r="DF17" s="35">
        <f t="shared" si="170"/>
        <v>0.3755202599289803</v>
      </c>
      <c r="DG17" s="33">
        <f t="shared" si="171"/>
        <v>6.3300840451341434E-2</v>
      </c>
      <c r="DH17" s="53">
        <f t="shared" si="172"/>
        <v>1387739.9399481623</v>
      </c>
      <c r="DI17" s="122">
        <f t="shared" si="173"/>
        <v>0</v>
      </c>
      <c r="DJ17" s="76" t="s">
        <v>8</v>
      </c>
      <c r="DK17" s="30" t="s">
        <v>8</v>
      </c>
      <c r="DL17" s="35">
        <f t="shared" si="174"/>
        <v>0.3755202599289803</v>
      </c>
      <c r="DM17" s="33">
        <f t="shared" si="175"/>
        <v>6.3300840451341434E-2</v>
      </c>
      <c r="DN17" s="53">
        <f t="shared" si="176"/>
        <v>1387739.9399481623</v>
      </c>
      <c r="DO17" s="122">
        <f t="shared" si="177"/>
        <v>0</v>
      </c>
      <c r="DP17" s="76" t="s">
        <v>8</v>
      </c>
      <c r="DQ17" s="30" t="s">
        <v>8</v>
      </c>
      <c r="DR17" s="35">
        <f t="shared" si="178"/>
        <v>0.3755202599289803</v>
      </c>
      <c r="DS17" s="33">
        <f t="shared" si="179"/>
        <v>6.3300840451341434E-2</v>
      </c>
      <c r="DT17" s="53">
        <f t="shared" si="180"/>
        <v>1387739.9399481623</v>
      </c>
      <c r="DU17" s="122">
        <f t="shared" si="181"/>
        <v>0</v>
      </c>
      <c r="DV17" s="76" t="s">
        <v>8</v>
      </c>
      <c r="DW17" s="30" t="s">
        <v>8</v>
      </c>
      <c r="DX17" s="35">
        <f t="shared" si="182"/>
        <v>0.3755202599289803</v>
      </c>
      <c r="DY17" s="33">
        <f t="shared" si="183"/>
        <v>6.3300840451341434E-2</v>
      </c>
      <c r="DZ17" s="34">
        <f t="shared" si="184"/>
        <v>1387739.9399481623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0.3755202599289803</v>
      </c>
      <c r="EE17" s="33">
        <f t="shared" si="187"/>
        <v>6.3300840451341434E-2</v>
      </c>
      <c r="EF17" s="34">
        <f t="shared" si="188"/>
        <v>1387739.9399481623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0.3755202599289803</v>
      </c>
      <c r="EK17" s="33">
        <f t="shared" si="191"/>
        <v>6.3300840451341434E-2</v>
      </c>
      <c r="EL17" s="34">
        <f t="shared" si="192"/>
        <v>1387739.9399481623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0.3755202599289803</v>
      </c>
      <c r="EQ17" s="33">
        <f t="shared" si="195"/>
        <v>6.3300840451341434E-2</v>
      </c>
      <c r="ER17" s="34">
        <f t="shared" si="196"/>
        <v>1387739.9399481623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0.3755202599289803</v>
      </c>
      <c r="EW17" s="33">
        <f t="shared" si="199"/>
        <v>6.3300840451341434E-2</v>
      </c>
      <c r="EX17" s="34">
        <f t="shared" si="200"/>
        <v>1387739.9399481623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0.3755202599289803</v>
      </c>
      <c r="FC17" s="33">
        <f t="shared" si="203"/>
        <v>6.3300840451341434E-2</v>
      </c>
      <c r="FD17" s="34">
        <f t="shared" si="204"/>
        <v>1387739.9399481623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0.3755202599289803</v>
      </c>
      <c r="FI17" s="33">
        <f t="shared" si="207"/>
        <v>6.3300840451341434E-2</v>
      </c>
      <c r="FJ17" s="34">
        <f t="shared" si="208"/>
        <v>1387739.9399481623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0.3755202599289803</v>
      </c>
      <c r="FO17" s="33">
        <f t="shared" si="211"/>
        <v>6.3300840451341434E-2</v>
      </c>
      <c r="FP17" s="34">
        <f t="shared" si="212"/>
        <v>1387739.9399481623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0.3755202599289803</v>
      </c>
      <c r="FU17" s="33">
        <f t="shared" si="215"/>
        <v>6.3300840451341434E-2</v>
      </c>
      <c r="FV17" s="34">
        <f t="shared" si="216"/>
        <v>1387739.9399481623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0.3755202599289803</v>
      </c>
      <c r="GA17" s="33">
        <f t="shared" si="219"/>
        <v>6.3300840451341434E-2</v>
      </c>
      <c r="GB17" s="34">
        <f t="shared" si="220"/>
        <v>1387739.9399481623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0.3755202599289803</v>
      </c>
      <c r="GG17" s="33">
        <f t="shared" si="223"/>
        <v>6.3300840451341434E-2</v>
      </c>
      <c r="GH17" s="34">
        <f t="shared" si="224"/>
        <v>1387739.9399481623</v>
      </c>
      <c r="GI17" s="122">
        <f t="shared" si="225"/>
        <v>0</v>
      </c>
      <c r="GJ17" s="151">
        <f t="shared" si="228"/>
        <v>288974.75075201847</v>
      </c>
      <c r="GK17" s="95">
        <f>L17+GJ17</f>
        <v>1816272.3162502158</v>
      </c>
      <c r="GL17" s="185">
        <f t="shared" si="227"/>
        <v>0.3755202599289803</v>
      </c>
      <c r="GM17" s="190"/>
    </row>
    <row r="18" spans="1:195" s="25" customFormat="1" ht="38.25" thickBot="1" x14ac:dyDescent="0.35">
      <c r="A18" s="167" t="s">
        <v>201</v>
      </c>
      <c r="B18" s="141" t="s">
        <v>8</v>
      </c>
      <c r="C18" s="141" t="s">
        <v>8</v>
      </c>
      <c r="D18" s="141" t="s">
        <v>8</v>
      </c>
      <c r="E18" s="141" t="s">
        <v>8</v>
      </c>
      <c r="F18" s="141" t="s">
        <v>8</v>
      </c>
      <c r="G18" s="104">
        <f>'Исходные данные'!C20</f>
        <v>7264</v>
      </c>
      <c r="H18" s="31">
        <f>'Исходные данные'!D20</f>
        <v>18951483</v>
      </c>
      <c r="I18" s="32">
        <f>'Расчет КРП'!F16</f>
        <v>4.3182669789227166</v>
      </c>
      <c r="J18" s="111" t="s">
        <v>8</v>
      </c>
      <c r="K18" s="115">
        <f t="shared" si="104"/>
        <v>0.27293156416088693</v>
      </c>
      <c r="L18" s="77">
        <f t="shared" si="105"/>
        <v>8811985.318331141</v>
      </c>
      <c r="M18" s="73">
        <f t="shared" si="106"/>
        <v>0.39983819918754371</v>
      </c>
      <c r="N18" s="30" t="s">
        <v>8</v>
      </c>
      <c r="O18" s="33">
        <f t="shared" si="107"/>
        <v>-2.1320638916029089E-2</v>
      </c>
      <c r="P18" s="34">
        <f t="shared" si="108"/>
        <v>0</v>
      </c>
      <c r="Q18" s="80">
        <f t="shared" si="109"/>
        <v>0</v>
      </c>
      <c r="R18" s="145" t="s">
        <v>8</v>
      </c>
      <c r="S18" s="30" t="s">
        <v>8</v>
      </c>
      <c r="T18" s="35">
        <f t="shared" si="110"/>
        <v>0.39983819918754371</v>
      </c>
      <c r="U18" s="33">
        <f t="shared" si="111"/>
        <v>3.898290119277803E-2</v>
      </c>
      <c r="V18" s="53">
        <f t="shared" si="112"/>
        <v>4738897.0352866696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0.39983819918754371</v>
      </c>
      <c r="AA18" s="33">
        <f t="shared" si="115"/>
        <v>3.898290119277803E-2</v>
      </c>
      <c r="AB18" s="53">
        <f t="shared" si="116"/>
        <v>4738897.0352866696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0.39983819918754371</v>
      </c>
      <c r="AG18" s="33">
        <f t="shared" si="119"/>
        <v>3.898290119277803E-2</v>
      </c>
      <c r="AH18" s="53">
        <f t="shared" si="120"/>
        <v>4738897.0352866696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0.39983819918754371</v>
      </c>
      <c r="AM18" s="33">
        <f t="shared" si="123"/>
        <v>3.898290119277803E-2</v>
      </c>
      <c r="AN18" s="53">
        <f t="shared" si="124"/>
        <v>4738897.0352866696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0.39983819918754371</v>
      </c>
      <c r="AS18" s="33">
        <f t="shared" si="127"/>
        <v>3.898290119277803E-2</v>
      </c>
      <c r="AT18" s="53">
        <f t="shared" si="128"/>
        <v>4738897.0352866696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0.39983819918754371</v>
      </c>
      <c r="AY18" s="33">
        <f t="shared" si="131"/>
        <v>3.898290119277803E-2</v>
      </c>
      <c r="AZ18" s="53">
        <f t="shared" si="132"/>
        <v>4738897.0352866696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0.39983819918754371</v>
      </c>
      <c r="BE18" s="33">
        <f t="shared" si="135"/>
        <v>3.898290119277803E-2</v>
      </c>
      <c r="BF18" s="53">
        <f t="shared" si="136"/>
        <v>4738897.0352866696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0.39983819918754371</v>
      </c>
      <c r="BK18" s="33">
        <f t="shared" si="139"/>
        <v>3.898290119277803E-2</v>
      </c>
      <c r="BL18" s="53">
        <f t="shared" si="140"/>
        <v>4738897.0352866696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0.39983819918754371</v>
      </c>
      <c r="BQ18" s="33">
        <f t="shared" si="143"/>
        <v>3.898290119277803E-2</v>
      </c>
      <c r="BR18" s="53">
        <f t="shared" si="144"/>
        <v>4738897.0352866696</v>
      </c>
      <c r="BS18" s="122">
        <f t="shared" si="145"/>
        <v>0</v>
      </c>
      <c r="BT18" s="76" t="s">
        <v>8</v>
      </c>
      <c r="BU18" s="30" t="s">
        <v>8</v>
      </c>
      <c r="BV18" s="35">
        <f t="shared" si="146"/>
        <v>0.39983819918754371</v>
      </c>
      <c r="BW18" s="33">
        <f t="shared" si="147"/>
        <v>3.898290119277803E-2</v>
      </c>
      <c r="BX18" s="53">
        <f t="shared" si="148"/>
        <v>4738897.0352866696</v>
      </c>
      <c r="BY18" s="122">
        <f t="shared" si="149"/>
        <v>0</v>
      </c>
      <c r="BZ18" s="76" t="s">
        <v>8</v>
      </c>
      <c r="CA18" s="30" t="s">
        <v>8</v>
      </c>
      <c r="CB18" s="35">
        <f t="shared" si="150"/>
        <v>0.39983819918754371</v>
      </c>
      <c r="CC18" s="33">
        <f t="shared" si="151"/>
        <v>3.898290119277803E-2</v>
      </c>
      <c r="CD18" s="53">
        <f t="shared" si="152"/>
        <v>4738897.0352866696</v>
      </c>
      <c r="CE18" s="122">
        <f t="shared" si="153"/>
        <v>0</v>
      </c>
      <c r="CF18" s="76" t="s">
        <v>8</v>
      </c>
      <c r="CG18" s="30" t="s">
        <v>8</v>
      </c>
      <c r="CH18" s="35">
        <f t="shared" si="154"/>
        <v>0.39983819918754371</v>
      </c>
      <c r="CI18" s="33">
        <f t="shared" si="155"/>
        <v>3.898290119277803E-2</v>
      </c>
      <c r="CJ18" s="53">
        <f t="shared" si="156"/>
        <v>4738897.0352866696</v>
      </c>
      <c r="CK18" s="122">
        <f t="shared" si="157"/>
        <v>0</v>
      </c>
      <c r="CL18" s="76" t="s">
        <v>8</v>
      </c>
      <c r="CM18" s="30" t="s">
        <v>8</v>
      </c>
      <c r="CN18" s="35">
        <f t="shared" si="158"/>
        <v>0.39983819918754371</v>
      </c>
      <c r="CO18" s="33">
        <f t="shared" si="159"/>
        <v>3.898290119277803E-2</v>
      </c>
      <c r="CP18" s="53">
        <f t="shared" si="160"/>
        <v>4738897.0352866696</v>
      </c>
      <c r="CQ18" s="122">
        <f t="shared" si="161"/>
        <v>0</v>
      </c>
      <c r="CR18" s="76" t="s">
        <v>8</v>
      </c>
      <c r="CS18" s="30" t="s">
        <v>8</v>
      </c>
      <c r="CT18" s="35">
        <f t="shared" si="162"/>
        <v>0.39983819918754371</v>
      </c>
      <c r="CU18" s="33">
        <f t="shared" si="163"/>
        <v>3.898290119277803E-2</v>
      </c>
      <c r="CV18" s="53">
        <f t="shared" si="164"/>
        <v>4738897.0352866696</v>
      </c>
      <c r="CW18" s="122">
        <f t="shared" si="165"/>
        <v>0</v>
      </c>
      <c r="CX18" s="76" t="s">
        <v>8</v>
      </c>
      <c r="CY18" s="30" t="s">
        <v>8</v>
      </c>
      <c r="CZ18" s="35">
        <f t="shared" si="166"/>
        <v>0.39983819918754371</v>
      </c>
      <c r="DA18" s="33">
        <f t="shared" si="167"/>
        <v>3.898290119277803E-2</v>
      </c>
      <c r="DB18" s="53">
        <f t="shared" si="168"/>
        <v>4738897.0352866696</v>
      </c>
      <c r="DC18" s="122">
        <f t="shared" si="169"/>
        <v>0</v>
      </c>
      <c r="DD18" s="76" t="s">
        <v>8</v>
      </c>
      <c r="DE18" s="30" t="s">
        <v>8</v>
      </c>
      <c r="DF18" s="35">
        <f t="shared" si="170"/>
        <v>0.39983819918754371</v>
      </c>
      <c r="DG18" s="33">
        <f t="shared" si="171"/>
        <v>3.898290119277803E-2</v>
      </c>
      <c r="DH18" s="53">
        <f t="shared" si="172"/>
        <v>4738897.0352866696</v>
      </c>
      <c r="DI18" s="122">
        <f t="shared" si="173"/>
        <v>0</v>
      </c>
      <c r="DJ18" s="76" t="s">
        <v>8</v>
      </c>
      <c r="DK18" s="30" t="s">
        <v>8</v>
      </c>
      <c r="DL18" s="35">
        <f t="shared" si="174"/>
        <v>0.39983819918754371</v>
      </c>
      <c r="DM18" s="33">
        <f t="shared" si="175"/>
        <v>3.898290119277803E-2</v>
      </c>
      <c r="DN18" s="53">
        <f t="shared" si="176"/>
        <v>4738897.0352866696</v>
      </c>
      <c r="DO18" s="122">
        <f t="shared" si="177"/>
        <v>0</v>
      </c>
      <c r="DP18" s="76" t="s">
        <v>8</v>
      </c>
      <c r="DQ18" s="30" t="s">
        <v>8</v>
      </c>
      <c r="DR18" s="35">
        <f t="shared" si="178"/>
        <v>0.39983819918754371</v>
      </c>
      <c r="DS18" s="33">
        <f t="shared" si="179"/>
        <v>3.898290119277803E-2</v>
      </c>
      <c r="DT18" s="53">
        <f t="shared" si="180"/>
        <v>4738897.0352866696</v>
      </c>
      <c r="DU18" s="122">
        <f t="shared" si="181"/>
        <v>0</v>
      </c>
      <c r="DV18" s="76" t="s">
        <v>8</v>
      </c>
      <c r="DW18" s="30" t="s">
        <v>8</v>
      </c>
      <c r="DX18" s="35">
        <f t="shared" si="182"/>
        <v>0.39983819918754371</v>
      </c>
      <c r="DY18" s="33">
        <f t="shared" si="183"/>
        <v>3.898290119277803E-2</v>
      </c>
      <c r="DZ18" s="34">
        <f t="shared" si="184"/>
        <v>4738897.0352866696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0.39983819918754371</v>
      </c>
      <c r="EE18" s="33">
        <f t="shared" si="187"/>
        <v>3.898290119277803E-2</v>
      </c>
      <c r="EF18" s="34">
        <f t="shared" si="188"/>
        <v>4738897.0352866696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0.39983819918754371</v>
      </c>
      <c r="EK18" s="33">
        <f t="shared" si="191"/>
        <v>3.898290119277803E-2</v>
      </c>
      <c r="EL18" s="34">
        <f t="shared" si="192"/>
        <v>4738897.0352866696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0.39983819918754371</v>
      </c>
      <c r="EQ18" s="33">
        <f t="shared" si="195"/>
        <v>3.898290119277803E-2</v>
      </c>
      <c r="ER18" s="34">
        <f t="shared" si="196"/>
        <v>4738897.0352866696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0.39983819918754371</v>
      </c>
      <c r="EW18" s="33">
        <f t="shared" si="199"/>
        <v>3.898290119277803E-2</v>
      </c>
      <c r="EX18" s="34">
        <f t="shared" si="200"/>
        <v>4738897.0352866696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0.39983819918754371</v>
      </c>
      <c r="FC18" s="33">
        <f t="shared" si="203"/>
        <v>3.898290119277803E-2</v>
      </c>
      <c r="FD18" s="34">
        <f t="shared" si="204"/>
        <v>4738897.0352866696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0.39983819918754371</v>
      </c>
      <c r="FI18" s="33">
        <f t="shared" si="207"/>
        <v>3.898290119277803E-2</v>
      </c>
      <c r="FJ18" s="34">
        <f t="shared" si="208"/>
        <v>4738897.0352866696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0.39983819918754371</v>
      </c>
      <c r="FO18" s="33">
        <f t="shared" si="211"/>
        <v>3.898290119277803E-2</v>
      </c>
      <c r="FP18" s="34">
        <f t="shared" si="212"/>
        <v>4738897.0352866696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0.39983819918754371</v>
      </c>
      <c r="FU18" s="33">
        <f t="shared" si="215"/>
        <v>3.898290119277803E-2</v>
      </c>
      <c r="FV18" s="34">
        <f t="shared" si="216"/>
        <v>4738897.0352866696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0.39983819918754371</v>
      </c>
      <c r="GA18" s="33">
        <f t="shared" si="219"/>
        <v>3.898290119277803E-2</v>
      </c>
      <c r="GB18" s="34">
        <f t="shared" si="220"/>
        <v>4738897.0352866696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0.39983819918754371</v>
      </c>
      <c r="GG18" s="33">
        <f t="shared" si="223"/>
        <v>3.898290119277803E-2</v>
      </c>
      <c r="GH18" s="34">
        <f t="shared" si="224"/>
        <v>4738897.0352866696</v>
      </c>
      <c r="GI18" s="122">
        <f t="shared" si="225"/>
        <v>0</v>
      </c>
      <c r="GJ18" s="151">
        <f t="shared" si="228"/>
        <v>0</v>
      </c>
      <c r="GK18" s="95">
        <f>L18+GJ18</f>
        <v>8811985.318331141</v>
      </c>
      <c r="GL18" s="185">
        <f t="shared" si="227"/>
        <v>0.39983819918754365</v>
      </c>
      <c r="GM18" s="192"/>
    </row>
    <row r="19" spans="1:195" s="29" customFormat="1" ht="16.5" thickBot="1" x14ac:dyDescent="0.3">
      <c r="A19" s="99" t="s">
        <v>6</v>
      </c>
      <c r="B19" s="119">
        <v>29036385</v>
      </c>
      <c r="C19" s="117">
        <v>73</v>
      </c>
      <c r="D19" s="81">
        <f>B19*C19/100</f>
        <v>21196561.050000001</v>
      </c>
      <c r="E19" s="106">
        <f>100-C19</f>
        <v>27</v>
      </c>
      <c r="F19" s="81">
        <f>B19-D19</f>
        <v>7839823.9499999993</v>
      </c>
      <c r="G19" s="105">
        <f>SUM(G9:G18)</f>
        <v>17473</v>
      </c>
      <c r="H19" s="105">
        <f>SUM(H9:H18)</f>
        <v>38678675</v>
      </c>
      <c r="I19" s="45" t="s">
        <v>8</v>
      </c>
      <c r="J19" s="158">
        <f>H19/G19</f>
        <v>2213.6253076174671</v>
      </c>
      <c r="K19" s="116" t="s">
        <v>8</v>
      </c>
      <c r="L19" s="78">
        <f>SUM(L9:L18)</f>
        <v>21196561.050000004</v>
      </c>
      <c r="M19" s="74" t="s">
        <v>8</v>
      </c>
      <c r="N19" s="46">
        <f>(SUMIF(M9:M18,"&lt;1")+1)/(COUNTIFS(M9:M18,"&lt;1")+1)</f>
        <v>0.37851756027151462</v>
      </c>
      <c r="O19" s="47" t="s">
        <v>8</v>
      </c>
      <c r="P19" s="44">
        <f>SUM(P9:P18)</f>
        <v>13712472.776202463</v>
      </c>
      <c r="Q19" s="44">
        <f>SUM(Q9:Q18)</f>
        <v>7839823.9500000002</v>
      </c>
      <c r="R19" s="83">
        <f>F19-Q19</f>
        <v>0</v>
      </c>
      <c r="S19" s="46">
        <f>(SUMIF(T9:T18,"&lt;1")+1)/(COUNTIFS(T9:T18,"&lt;1")+1)</f>
        <v>0.43882110038032174</v>
      </c>
      <c r="T19" s="47" t="s">
        <v>8</v>
      </c>
      <c r="U19" s="47" t="s">
        <v>8</v>
      </c>
      <c r="V19" s="44">
        <f>SUM(V9:V18)</f>
        <v>16525351.798802294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0.43882110038032174</v>
      </c>
      <c r="Z19" s="47" t="s">
        <v>8</v>
      </c>
      <c r="AA19" s="47" t="s">
        <v>8</v>
      </c>
      <c r="AB19" s="44">
        <f>SUM(AB9:AB18)</f>
        <v>16525351.798802294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0.43882110038032174</v>
      </c>
      <c r="AF19" s="47" t="s">
        <v>8</v>
      </c>
      <c r="AG19" s="47" t="s">
        <v>8</v>
      </c>
      <c r="AH19" s="44">
        <f>SUM(AH9:AH18)</f>
        <v>16525351.798802294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0.43882110038032174</v>
      </c>
      <c r="AL19" s="47" t="s">
        <v>8</v>
      </c>
      <c r="AM19" s="47" t="s">
        <v>8</v>
      </c>
      <c r="AN19" s="44">
        <f>SUM(AN9:AN18)</f>
        <v>16525351.798802294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0.43882110038032174</v>
      </c>
      <c r="AR19" s="47" t="s">
        <v>8</v>
      </c>
      <c r="AS19" s="47" t="s">
        <v>8</v>
      </c>
      <c r="AT19" s="44">
        <f>SUM(AT9:AT18)</f>
        <v>16525351.798802294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0.43882110038032174</v>
      </c>
      <c r="AX19" s="47" t="s">
        <v>8</v>
      </c>
      <c r="AY19" s="47" t="s">
        <v>8</v>
      </c>
      <c r="AZ19" s="44">
        <f>SUM(AZ9:AZ18)</f>
        <v>16525351.798802294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0.43882110038032174</v>
      </c>
      <c r="BD19" s="47" t="s">
        <v>8</v>
      </c>
      <c r="BE19" s="47" t="s">
        <v>8</v>
      </c>
      <c r="BF19" s="44">
        <f>SUM(BF9:BF18)</f>
        <v>16525351.798802294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0.43882110038032174</v>
      </c>
      <c r="BJ19" s="47" t="s">
        <v>8</v>
      </c>
      <c r="BK19" s="47" t="s">
        <v>8</v>
      </c>
      <c r="BL19" s="44">
        <f>SUM(BL9:BL18)</f>
        <v>16525351.798802294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0.43882110038032174</v>
      </c>
      <c r="BP19" s="47" t="s">
        <v>8</v>
      </c>
      <c r="BQ19" s="47" t="s">
        <v>8</v>
      </c>
      <c r="BR19" s="44">
        <f>SUM(BR9:BR18)</f>
        <v>16525351.798802294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0.43882110038032174</v>
      </c>
      <c r="BV19" s="47" t="s">
        <v>8</v>
      </c>
      <c r="BW19" s="47" t="s">
        <v>8</v>
      </c>
      <c r="BX19" s="44">
        <f>SUM(BX9:BX18)</f>
        <v>16525351.798802294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0.43882110038032174</v>
      </c>
      <c r="CB19" s="47" t="s">
        <v>8</v>
      </c>
      <c r="CC19" s="47" t="s">
        <v>8</v>
      </c>
      <c r="CD19" s="44">
        <f>SUM(CD9:CD18)</f>
        <v>16525351.798802294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0.43882110038032174</v>
      </c>
      <c r="CH19" s="47" t="s">
        <v>8</v>
      </c>
      <c r="CI19" s="47" t="s">
        <v>8</v>
      </c>
      <c r="CJ19" s="44">
        <f>SUM(CJ9:CJ18)</f>
        <v>16525351.798802294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0.43882110038032174</v>
      </c>
      <c r="CN19" s="47" t="s">
        <v>8</v>
      </c>
      <c r="CO19" s="47" t="s">
        <v>8</v>
      </c>
      <c r="CP19" s="44">
        <f>SUM(CP9:CP18)</f>
        <v>16525351.798802294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0.43882110038032174</v>
      </c>
      <c r="CT19" s="47" t="s">
        <v>8</v>
      </c>
      <c r="CU19" s="47" t="s">
        <v>8</v>
      </c>
      <c r="CV19" s="44">
        <f>SUM(CV9:CV18)</f>
        <v>16525351.798802294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0.43882110038032174</v>
      </c>
      <c r="CZ19" s="47" t="s">
        <v>8</v>
      </c>
      <c r="DA19" s="47" t="s">
        <v>8</v>
      </c>
      <c r="DB19" s="44">
        <f>SUM(DB9:DB18)</f>
        <v>16525351.798802294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0.43882110038032174</v>
      </c>
      <c r="DF19" s="47" t="s">
        <v>8</v>
      </c>
      <c r="DG19" s="47" t="s">
        <v>8</v>
      </c>
      <c r="DH19" s="44">
        <f>SUM(DH9:DH18)</f>
        <v>16525351.798802294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0.43882110038032174</v>
      </c>
      <c r="DL19" s="47" t="s">
        <v>8</v>
      </c>
      <c r="DM19" s="47" t="s">
        <v>8</v>
      </c>
      <c r="DN19" s="44">
        <f>SUM(DN9:DN18)</f>
        <v>16525351.798802294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0.43882110038032174</v>
      </c>
      <c r="DR19" s="47" t="s">
        <v>8</v>
      </c>
      <c r="DS19" s="47" t="s">
        <v>8</v>
      </c>
      <c r="DT19" s="44">
        <f>SUM(DT9:DT18)</f>
        <v>16525351.798802294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0.43882110038032174</v>
      </c>
      <c r="DX19" s="47" t="s">
        <v>8</v>
      </c>
      <c r="DY19" s="47" t="s">
        <v>8</v>
      </c>
      <c r="DZ19" s="139">
        <f>SUM(DZ9:DZ18)</f>
        <v>16525351.798802294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0.43882110038032174</v>
      </c>
      <c r="ED19" s="47" t="s">
        <v>8</v>
      </c>
      <c r="EE19" s="47" t="s">
        <v>8</v>
      </c>
      <c r="EF19" s="139">
        <f>SUM(EF9:EF18)</f>
        <v>16525351.798802294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0.43882110038032174</v>
      </c>
      <c r="EJ19" s="47" t="s">
        <v>8</v>
      </c>
      <c r="EK19" s="47" t="s">
        <v>8</v>
      </c>
      <c r="EL19" s="139">
        <f>SUM(EL9:EL18)</f>
        <v>16525351.798802294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0.43882110038032174</v>
      </c>
      <c r="EP19" s="47" t="s">
        <v>8</v>
      </c>
      <c r="EQ19" s="47" t="s">
        <v>8</v>
      </c>
      <c r="ER19" s="139">
        <f>SUM(ER9:ER18)</f>
        <v>16525351.798802294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0.43882110038032174</v>
      </c>
      <c r="EV19" s="47" t="s">
        <v>8</v>
      </c>
      <c r="EW19" s="47" t="s">
        <v>8</v>
      </c>
      <c r="EX19" s="139">
        <f>SUM(EX9:EX18)</f>
        <v>16525351.798802294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0.43882110038032174</v>
      </c>
      <c r="FB19" s="47" t="s">
        <v>8</v>
      </c>
      <c r="FC19" s="47" t="s">
        <v>8</v>
      </c>
      <c r="FD19" s="139">
        <f>SUM(FD9:FD18)</f>
        <v>16525351.798802294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0.43882110038032174</v>
      </c>
      <c r="FH19" s="47" t="s">
        <v>8</v>
      </c>
      <c r="FI19" s="47" t="s">
        <v>8</v>
      </c>
      <c r="FJ19" s="139">
        <f>SUM(FJ9:FJ18)</f>
        <v>16525351.798802294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0.43882110038032174</v>
      </c>
      <c r="FN19" s="47" t="s">
        <v>8</v>
      </c>
      <c r="FO19" s="47" t="s">
        <v>8</v>
      </c>
      <c r="FP19" s="139">
        <f>SUM(FP9:FP18)</f>
        <v>16525351.798802294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0.43882110038032174</v>
      </c>
      <c r="FT19" s="47" t="s">
        <v>8</v>
      </c>
      <c r="FU19" s="47" t="s">
        <v>8</v>
      </c>
      <c r="FV19" s="139">
        <f>SUM(FV9:FV18)</f>
        <v>16525351.798802294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0.43882110038032174</v>
      </c>
      <c r="FZ19" s="47" t="s">
        <v>8</v>
      </c>
      <c r="GA19" s="47" t="s">
        <v>8</v>
      </c>
      <c r="GB19" s="139">
        <f>SUM(GB9:GB18)</f>
        <v>16525351.798802294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0.43882110038032174</v>
      </c>
      <c r="GF19" s="47" t="s">
        <v>8</v>
      </c>
      <c r="GG19" s="47" t="s">
        <v>8</v>
      </c>
      <c r="GH19" s="139">
        <f>SUM(GH9:GH18)</f>
        <v>16525351.798802294</v>
      </c>
      <c r="GI19" s="44">
        <f>SUM(GI9:GI18)</f>
        <v>0</v>
      </c>
      <c r="GJ19" s="164">
        <f>SUM(GJ9:GJ18)</f>
        <v>7839823.9500000002</v>
      </c>
      <c r="GK19" s="166">
        <f t="shared" si="226"/>
        <v>29036385.000000004</v>
      </c>
      <c r="GL19" s="186" t="s">
        <v>8</v>
      </c>
      <c r="GM19" s="191"/>
    </row>
    <row r="21" spans="1:195" x14ac:dyDescent="0.2">
      <c r="P21" s="24"/>
    </row>
    <row r="23" spans="1:195" x14ac:dyDescent="0.2">
      <c r="GJ23" s="123"/>
      <c r="GK23" s="123"/>
    </row>
    <row r="24" spans="1:195" x14ac:dyDescent="0.2">
      <c r="M24" s="23"/>
    </row>
  </sheetData>
  <protectedRanges>
    <protectedRange sqref="A9:A18" name="Диапазон3_1_1_2"/>
    <protectedRange sqref="A9:A18" name="Диапазон2_1_1_2"/>
  </protectedRanges>
  <mergeCells count="50">
    <mergeCell ref="GM3:GM5"/>
    <mergeCell ref="A1:Q1"/>
    <mergeCell ref="FF4:FK4"/>
    <mergeCell ref="FL4:FQ4"/>
    <mergeCell ref="FR4:FW4"/>
    <mergeCell ref="FX4:GC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A3:A6"/>
    <mergeCell ref="B3:B5"/>
    <mergeCell ref="C3:F3"/>
    <mergeCell ref="C5:D5"/>
    <mergeCell ref="E5:F5"/>
    <mergeCell ref="C4:D4"/>
    <mergeCell ref="E4:F4"/>
    <mergeCell ref="GJ3:GJ5"/>
    <mergeCell ref="GL3:GL5"/>
    <mergeCell ref="I4:I5"/>
    <mergeCell ref="GK3:GK5"/>
    <mergeCell ref="BH4:BM4"/>
    <mergeCell ref="GD4:GI4"/>
    <mergeCell ref="EB4:EG4"/>
    <mergeCell ref="EH4:EM4"/>
    <mergeCell ref="EN4:ES4"/>
    <mergeCell ref="ET4:EY4"/>
    <mergeCell ref="EZ4:FE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2024-11-13T05:45:55Z</cp:lastPrinted>
  <dcterms:created xsi:type="dcterms:W3CDTF">2013-11-15T09:40:24Z</dcterms:created>
  <dcterms:modified xsi:type="dcterms:W3CDTF">2024-11-13T05:46:00Z</dcterms:modified>
</cp:coreProperties>
</file>