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bor_text\Desktop\428-п от 22.11.2024 изм в 544-п\"/>
    </mc:Choice>
  </mc:AlternateContent>
  <bookViews>
    <workbookView xWindow="0" yWindow="0" windowWidth="28800" windowHeight="11505"/>
  </bookViews>
  <sheets>
    <sheet name="Аналитикам" sheetId="12" r:id="rId1"/>
    <sheet name="Лист1" sheetId="13" r:id="rId2"/>
  </sheets>
  <externalReferences>
    <externalReference r:id="rId3"/>
  </externalReferences>
  <definedNames>
    <definedName name="_xlnm._FilterDatabase" localSheetId="0" hidden="1">Аналитикам!$A$10:$Z$155</definedName>
    <definedName name="OLE_LINK1" localSheetId="0">Аналитикам!#REF!</definedName>
    <definedName name="_xlnm.Print_Titles" localSheetId="0">Аналитикам!$1:$10</definedName>
    <definedName name="_xlnm.Print_Area" localSheetId="0">Аналитикам!$A$1:$Z$155</definedName>
  </definedNames>
  <calcPr calcId="162913" fullPrecision="0"/>
  <customWorkbookViews>
    <customWorkbookView name="Cherednikova - Личное представление" guid="{D45BA32D-C566-4080-BEF9-2628BFAF5780}" mergeInterval="0" personalView="1" maximized="1" xWindow="1" yWindow="1" windowWidth="1600" windowHeight="644" activeSheetId="2"/>
    <customWorkbookView name="Stavkina - Личное представление" guid="{CCE9CE8F-4106-475D-84A1-7D0DB166C500}" mergeInterval="0" personalView="1" maximized="1" xWindow="1" yWindow="1" windowWidth="1920" windowHeight="765" activeSheetId="2"/>
    <customWorkbookView name="Evstigneeva - Личное представление" guid="{19CD07B0-B75B-4742-8CF1-58B16CCA9C75}" mergeInterval="0" personalView="1" maximized="1" xWindow="1" yWindow="1" windowWidth="1710" windowHeight="888" activeSheetId="2"/>
  </customWorkbookViews>
</workbook>
</file>

<file path=xl/calcChain.xml><?xml version="1.0" encoding="utf-8"?>
<calcChain xmlns="http://schemas.openxmlformats.org/spreadsheetml/2006/main">
  <c r="G13" i="12" l="1"/>
  <c r="H13" i="12"/>
  <c r="I13" i="12"/>
  <c r="J13" i="12"/>
  <c r="K13" i="12"/>
  <c r="L13" i="12"/>
  <c r="M13" i="12"/>
  <c r="N13" i="12"/>
  <c r="O13" i="12"/>
  <c r="G14" i="12"/>
  <c r="H14" i="12"/>
  <c r="I14" i="12"/>
  <c r="J14" i="12"/>
  <c r="K14" i="12"/>
  <c r="L14" i="12"/>
  <c r="M14" i="12"/>
  <c r="N14" i="12"/>
  <c r="O14" i="12"/>
  <c r="G15" i="12"/>
  <c r="H15" i="12"/>
  <c r="I15" i="12"/>
  <c r="J15" i="12"/>
  <c r="K15" i="12"/>
  <c r="L15" i="12"/>
  <c r="M15" i="12"/>
  <c r="N15" i="12"/>
  <c r="O15" i="12"/>
  <c r="G16" i="12"/>
  <c r="H16" i="12"/>
  <c r="I16" i="12"/>
  <c r="J16" i="12"/>
  <c r="K16" i="12"/>
  <c r="L16" i="12"/>
  <c r="M16" i="12"/>
  <c r="N16" i="12"/>
  <c r="O16" i="12"/>
  <c r="G17" i="12"/>
  <c r="H17" i="12"/>
  <c r="I17" i="12"/>
  <c r="J17" i="12"/>
  <c r="K17" i="12"/>
  <c r="L17" i="12"/>
  <c r="M17" i="12"/>
  <c r="N17" i="12"/>
  <c r="O17" i="12"/>
  <c r="G18" i="12"/>
  <c r="H18" i="12"/>
  <c r="I18" i="12"/>
  <c r="J18" i="12"/>
  <c r="K18" i="12"/>
  <c r="L18" i="12"/>
  <c r="M18" i="12"/>
  <c r="N18" i="12"/>
  <c r="O18" i="12"/>
  <c r="G19" i="12"/>
  <c r="H19" i="12"/>
  <c r="I19" i="12"/>
  <c r="J19" i="12"/>
  <c r="K19" i="12"/>
  <c r="L19" i="12"/>
  <c r="M19" i="12"/>
  <c r="N19" i="12"/>
  <c r="O19" i="12"/>
  <c r="G20" i="12"/>
  <c r="H20" i="12"/>
  <c r="I20" i="12"/>
  <c r="J20" i="12"/>
  <c r="K20" i="12"/>
  <c r="L20" i="12"/>
  <c r="M20" i="12"/>
  <c r="N20" i="12"/>
  <c r="O20" i="12"/>
  <c r="G21" i="12"/>
  <c r="H21" i="12"/>
  <c r="I21" i="12"/>
  <c r="J21" i="12"/>
  <c r="K21" i="12"/>
  <c r="L21" i="12"/>
  <c r="M21" i="12"/>
  <c r="N21" i="12"/>
  <c r="O21" i="12"/>
  <c r="G146" i="12" l="1"/>
  <c r="H146" i="12"/>
  <c r="I146" i="12"/>
  <c r="J146" i="12"/>
  <c r="K146" i="12"/>
  <c r="L146" i="12"/>
  <c r="M146" i="12"/>
  <c r="N146" i="12"/>
  <c r="O146" i="12"/>
  <c r="G147" i="12"/>
  <c r="H147" i="12"/>
  <c r="I147" i="12"/>
  <c r="J147" i="12"/>
  <c r="K147" i="12"/>
  <c r="L147" i="12"/>
  <c r="M147" i="12"/>
  <c r="N147" i="12"/>
  <c r="O147" i="12"/>
  <c r="G148" i="12"/>
  <c r="H148" i="12"/>
  <c r="I148" i="12"/>
  <c r="J148" i="12"/>
  <c r="K148" i="12"/>
  <c r="L148" i="12"/>
  <c r="M148" i="12"/>
  <c r="N148" i="12"/>
  <c r="O148" i="12"/>
  <c r="G149" i="12"/>
  <c r="H149" i="12"/>
  <c r="I149" i="12"/>
  <c r="J149" i="12"/>
  <c r="K149" i="12"/>
  <c r="L149" i="12"/>
  <c r="M149" i="12"/>
  <c r="N149" i="12"/>
  <c r="O149" i="12"/>
  <c r="G150" i="12"/>
  <c r="H150" i="12"/>
  <c r="I150" i="12"/>
  <c r="J150" i="12"/>
  <c r="K150" i="12"/>
  <c r="L150" i="12"/>
  <c r="M150" i="12"/>
  <c r="N150" i="12"/>
  <c r="O150" i="12"/>
  <c r="G151" i="12"/>
  <c r="H151" i="12"/>
  <c r="I151" i="12"/>
  <c r="J151" i="12"/>
  <c r="K151" i="12"/>
  <c r="L151" i="12"/>
  <c r="M151" i="12"/>
  <c r="N151" i="12"/>
  <c r="O151" i="12"/>
  <c r="G152" i="12"/>
  <c r="H152" i="12"/>
  <c r="I152" i="12"/>
  <c r="J152" i="12"/>
  <c r="K152" i="12"/>
  <c r="L152" i="12"/>
  <c r="M152" i="12"/>
  <c r="N152" i="12"/>
  <c r="O152" i="12"/>
  <c r="G153" i="12"/>
  <c r="H153" i="12"/>
  <c r="I153" i="12"/>
  <c r="J153" i="12"/>
  <c r="K153" i="12"/>
  <c r="L153" i="12"/>
  <c r="M153" i="12"/>
  <c r="N153" i="12"/>
  <c r="O153" i="12"/>
  <c r="G154" i="12"/>
  <c r="H154" i="12"/>
  <c r="I154" i="12"/>
  <c r="J154" i="12"/>
  <c r="K154" i="12"/>
  <c r="L154" i="12"/>
  <c r="M154" i="12"/>
  <c r="N154" i="12"/>
  <c r="O154" i="12"/>
  <c r="G155" i="12"/>
  <c r="H155" i="12"/>
  <c r="I155" i="12"/>
  <c r="J155" i="12"/>
  <c r="K155" i="12"/>
  <c r="L155" i="12"/>
  <c r="M155" i="12"/>
  <c r="N155" i="12"/>
  <c r="O155" i="12"/>
  <c r="G141" i="12"/>
  <c r="H141" i="12"/>
  <c r="I141" i="12"/>
  <c r="J141" i="12"/>
  <c r="K141" i="12"/>
  <c r="L141" i="12"/>
  <c r="M141" i="12"/>
  <c r="N141" i="12"/>
  <c r="O141" i="12"/>
  <c r="G142" i="12"/>
  <c r="H142" i="12"/>
  <c r="I142" i="12"/>
  <c r="J142" i="12"/>
  <c r="K142" i="12"/>
  <c r="L142" i="12"/>
  <c r="M142" i="12"/>
  <c r="N142" i="12"/>
  <c r="O142" i="12"/>
  <c r="G143" i="12"/>
  <c r="H143" i="12"/>
  <c r="I143" i="12"/>
  <c r="J143" i="12"/>
  <c r="K143" i="12"/>
  <c r="L143" i="12"/>
  <c r="M143" i="12"/>
  <c r="N143" i="12"/>
  <c r="O143" i="12"/>
  <c r="G144" i="12"/>
  <c r="H144" i="12"/>
  <c r="I144" i="12"/>
  <c r="J144" i="12"/>
  <c r="K144" i="12"/>
  <c r="L144" i="12"/>
  <c r="M144" i="12"/>
  <c r="N144" i="12"/>
  <c r="O144" i="12"/>
  <c r="G145" i="12"/>
  <c r="H145" i="12"/>
  <c r="I145" i="12"/>
  <c r="J145" i="12"/>
  <c r="K145" i="12"/>
  <c r="L145" i="12"/>
  <c r="M145" i="12"/>
  <c r="N145" i="12"/>
  <c r="O145" i="12"/>
  <c r="G59" i="12" l="1"/>
  <c r="I58" i="12"/>
  <c r="I57" i="12" s="1"/>
  <c r="G57" i="12" s="1"/>
  <c r="H58" i="12"/>
  <c r="G58" i="12"/>
  <c r="R57" i="12"/>
  <c r="O57" i="12"/>
  <c r="N57" i="12"/>
  <c r="M57" i="12"/>
  <c r="L57" i="12"/>
  <c r="K57" i="12"/>
  <c r="J57" i="12"/>
  <c r="H57" i="12"/>
  <c r="G136" i="12" l="1"/>
  <c r="H136" i="12"/>
  <c r="I136" i="12"/>
  <c r="J136" i="12"/>
  <c r="K136" i="12"/>
  <c r="L136" i="12"/>
  <c r="M136" i="12"/>
  <c r="N136" i="12"/>
  <c r="O136" i="12"/>
  <c r="G137" i="12"/>
  <c r="H137" i="12"/>
  <c r="I137" i="12"/>
  <c r="J137" i="12"/>
  <c r="K137" i="12"/>
  <c r="L137" i="12"/>
  <c r="M137" i="12"/>
  <c r="N137" i="12"/>
  <c r="O137" i="12"/>
  <c r="G138" i="12"/>
  <c r="H138" i="12"/>
  <c r="I138" i="12"/>
  <c r="J138" i="12"/>
  <c r="K138" i="12"/>
  <c r="L138" i="12"/>
  <c r="M138" i="12"/>
  <c r="N138" i="12"/>
  <c r="O138" i="12"/>
  <c r="G139" i="12"/>
  <c r="H139" i="12"/>
  <c r="I139" i="12"/>
  <c r="J139" i="12"/>
  <c r="K139" i="12"/>
  <c r="L139" i="12"/>
  <c r="M139" i="12"/>
  <c r="N139" i="12"/>
  <c r="O139" i="12"/>
  <c r="G140" i="12"/>
  <c r="H140" i="12"/>
  <c r="I140" i="12"/>
  <c r="J140" i="12"/>
  <c r="K140" i="12"/>
  <c r="L140" i="12"/>
  <c r="M140" i="12"/>
  <c r="N140" i="12"/>
  <c r="O140" i="12"/>
  <c r="G80" i="12" l="1"/>
  <c r="H80" i="12"/>
  <c r="I80" i="12"/>
  <c r="J80" i="12"/>
  <c r="K80" i="12"/>
  <c r="L80" i="12"/>
  <c r="M80" i="12"/>
  <c r="N80" i="12"/>
  <c r="O80" i="12"/>
  <c r="G81" i="12"/>
  <c r="H81" i="12"/>
  <c r="I81" i="12"/>
  <c r="J81" i="12"/>
  <c r="K81" i="12"/>
  <c r="L81" i="12"/>
  <c r="M81" i="12"/>
  <c r="N81" i="12"/>
  <c r="O81" i="12"/>
  <c r="G82" i="12"/>
  <c r="H82" i="12"/>
  <c r="I82" i="12"/>
  <c r="J82" i="12"/>
  <c r="K82" i="12"/>
  <c r="L82" i="12"/>
  <c r="M82" i="12"/>
  <c r="N82" i="12"/>
  <c r="O82" i="12"/>
  <c r="G83" i="12"/>
  <c r="H83" i="12"/>
  <c r="I83" i="12"/>
  <c r="J83" i="12"/>
  <c r="K83" i="12"/>
  <c r="L83" i="12"/>
  <c r="M83" i="12"/>
  <c r="N83" i="12"/>
  <c r="O83" i="12"/>
  <c r="H135" i="12" l="1"/>
  <c r="G135" i="12"/>
  <c r="H134" i="12"/>
  <c r="H133" i="12" s="1"/>
  <c r="G133" i="12" s="1"/>
  <c r="O133" i="12"/>
  <c r="N133" i="12"/>
  <c r="M133" i="12"/>
  <c r="L133" i="12"/>
  <c r="K133" i="12"/>
  <c r="J133" i="12"/>
  <c r="I133" i="12"/>
  <c r="G134" i="12" l="1"/>
  <c r="K48" i="12"/>
  <c r="K46" i="12" s="1"/>
  <c r="J48" i="12"/>
  <c r="I48" i="12"/>
  <c r="I46" i="12" s="1"/>
  <c r="H48" i="12"/>
  <c r="G47" i="12"/>
  <c r="R46" i="12"/>
  <c r="O46" i="12"/>
  <c r="N46" i="12"/>
  <c r="M46" i="12"/>
  <c r="L46" i="12"/>
  <c r="J46" i="12"/>
  <c r="H46" i="12"/>
  <c r="G45" i="12"/>
  <c r="G44" i="12"/>
  <c r="R43" i="12"/>
  <c r="O43" i="12"/>
  <c r="N43" i="12"/>
  <c r="M43" i="12"/>
  <c r="L43" i="12"/>
  <c r="K43" i="12"/>
  <c r="J43" i="12"/>
  <c r="I43" i="12"/>
  <c r="H43" i="12"/>
  <c r="G42" i="12"/>
  <c r="J41" i="12"/>
  <c r="I41" i="12"/>
  <c r="I40" i="12" s="1"/>
  <c r="H41" i="12"/>
  <c r="R40" i="12"/>
  <c r="O40" i="12"/>
  <c r="N40" i="12"/>
  <c r="M40" i="12"/>
  <c r="L40" i="12"/>
  <c r="K40" i="12"/>
  <c r="J40" i="12"/>
  <c r="G39" i="12"/>
  <c r="I38" i="12"/>
  <c r="I37" i="12" s="1"/>
  <c r="H38" i="12"/>
  <c r="G38" i="12" s="1"/>
  <c r="R37" i="12"/>
  <c r="O37" i="12"/>
  <c r="N37" i="12"/>
  <c r="M37" i="12"/>
  <c r="L37" i="12"/>
  <c r="K37" i="12"/>
  <c r="J37" i="12"/>
  <c r="G36" i="12"/>
  <c r="I35" i="12"/>
  <c r="H35" i="12"/>
  <c r="H34" i="12" s="1"/>
  <c r="R34" i="12"/>
  <c r="O34" i="12"/>
  <c r="N34" i="12"/>
  <c r="M34" i="12"/>
  <c r="L34" i="12"/>
  <c r="K34" i="12"/>
  <c r="J34" i="12"/>
  <c r="I34" i="12"/>
  <c r="G33" i="12"/>
  <c r="I32" i="12"/>
  <c r="I31" i="12" s="1"/>
  <c r="H32" i="12"/>
  <c r="R31" i="12"/>
  <c r="O31" i="12"/>
  <c r="N31" i="12"/>
  <c r="M31" i="12"/>
  <c r="L31" i="12"/>
  <c r="K31" i="12"/>
  <c r="J31" i="12"/>
  <c r="G30" i="12"/>
  <c r="J29" i="12"/>
  <c r="J28" i="12" s="1"/>
  <c r="I29" i="12"/>
  <c r="H29" i="12"/>
  <c r="R28" i="12"/>
  <c r="O28" i="12"/>
  <c r="N28" i="12"/>
  <c r="M28" i="12"/>
  <c r="L28" i="12"/>
  <c r="K28" i="12"/>
  <c r="I28" i="12"/>
  <c r="G27" i="12"/>
  <c r="J26" i="12"/>
  <c r="J25" i="12" s="1"/>
  <c r="I26" i="12"/>
  <c r="H26" i="12"/>
  <c r="H25" i="12" s="1"/>
  <c r="R25" i="12"/>
  <c r="O25" i="12"/>
  <c r="N25" i="12"/>
  <c r="M25" i="12"/>
  <c r="L25" i="12"/>
  <c r="K25" i="12"/>
  <c r="G24" i="12"/>
  <c r="G23" i="12"/>
  <c r="R22" i="12"/>
  <c r="O22" i="12"/>
  <c r="N22" i="12"/>
  <c r="M22" i="12"/>
  <c r="L22" i="12"/>
  <c r="K22" i="12"/>
  <c r="J22" i="12"/>
  <c r="I22" i="12"/>
  <c r="H22" i="12"/>
  <c r="R19" i="12"/>
  <c r="R16" i="12"/>
  <c r="R13" i="12"/>
  <c r="G56" i="12"/>
  <c r="K55" i="12"/>
  <c r="J55" i="12"/>
  <c r="I55" i="12"/>
  <c r="H55" i="12"/>
  <c r="H54" i="12" s="1"/>
  <c r="R54" i="12"/>
  <c r="O54" i="12"/>
  <c r="N54" i="12"/>
  <c r="M54" i="12"/>
  <c r="L54" i="12"/>
  <c r="J54" i="12"/>
  <c r="I54" i="12"/>
  <c r="G53" i="12"/>
  <c r="K52" i="12"/>
  <c r="K51" i="12" s="1"/>
  <c r="I52" i="12"/>
  <c r="G52" i="12" s="1"/>
  <c r="R51" i="12"/>
  <c r="O51" i="12"/>
  <c r="N51" i="12"/>
  <c r="M51" i="12"/>
  <c r="L51" i="12"/>
  <c r="J51" i="12"/>
  <c r="H51" i="12"/>
  <c r="G41" i="12" l="1"/>
  <c r="G35" i="12"/>
  <c r="I51" i="12"/>
  <c r="H37" i="12"/>
  <c r="G37" i="12" s="1"/>
  <c r="G43" i="12"/>
  <c r="G32" i="12"/>
  <c r="G46" i="12"/>
  <c r="G26" i="12"/>
  <c r="G34" i="12"/>
  <c r="G22" i="12"/>
  <c r="G48" i="12"/>
  <c r="G29" i="12"/>
  <c r="H40" i="12"/>
  <c r="G40" i="12" s="1"/>
  <c r="I25" i="12"/>
  <c r="G25" i="12" s="1"/>
  <c r="H31" i="12"/>
  <c r="G31" i="12" s="1"/>
  <c r="H28" i="12"/>
  <c r="G28" i="12" s="1"/>
  <c r="G55" i="12"/>
  <c r="G51" i="12"/>
  <c r="K54" i="12"/>
  <c r="G54" i="12" s="1"/>
  <c r="G127" i="12"/>
  <c r="I126" i="12"/>
  <c r="G126" i="12" s="1"/>
  <c r="L125" i="12"/>
  <c r="K125" i="12"/>
  <c r="J125" i="12"/>
  <c r="L124" i="12"/>
  <c r="L121" i="12" s="1"/>
  <c r="J124" i="12"/>
  <c r="I124" i="12"/>
  <c r="G123" i="12"/>
  <c r="K122" i="12"/>
  <c r="K121" i="12" s="1"/>
  <c r="J122" i="12"/>
  <c r="J121" i="12" s="1"/>
  <c r="I122" i="12"/>
  <c r="R121" i="12"/>
  <c r="M121" i="12"/>
  <c r="H121" i="12"/>
  <c r="G120" i="12"/>
  <c r="J119" i="12"/>
  <c r="J118" i="12" s="1"/>
  <c r="I119" i="12"/>
  <c r="I118" i="12" s="1"/>
  <c r="H119" i="12"/>
  <c r="H118" i="12" s="1"/>
  <c r="O118" i="12"/>
  <c r="N118" i="12"/>
  <c r="M118" i="12"/>
  <c r="L118" i="12"/>
  <c r="K118" i="12"/>
  <c r="O115" i="12"/>
  <c r="N115" i="12"/>
  <c r="N113" i="12" s="1"/>
  <c r="M115" i="12"/>
  <c r="M113" i="12" s="1"/>
  <c r="O114" i="12"/>
  <c r="G114" i="12" s="1"/>
  <c r="K112" i="12"/>
  <c r="G112" i="12" s="1"/>
  <c r="L111" i="12"/>
  <c r="L110" i="12" s="1"/>
  <c r="K111" i="12"/>
  <c r="J111" i="12"/>
  <c r="J110" i="12" s="1"/>
  <c r="O110" i="12"/>
  <c r="N110" i="12"/>
  <c r="M110" i="12"/>
  <c r="G94" i="12"/>
  <c r="L93" i="12"/>
  <c r="G93" i="12" s="1"/>
  <c r="O92" i="12"/>
  <c r="N92" i="12"/>
  <c r="M92" i="12"/>
  <c r="K92" i="12"/>
  <c r="J92" i="12"/>
  <c r="I92" i="12"/>
  <c r="H92" i="12"/>
  <c r="G91" i="12"/>
  <c r="G90" i="12"/>
  <c r="R89" i="12"/>
  <c r="O89" i="12"/>
  <c r="N89" i="12"/>
  <c r="M89" i="12"/>
  <c r="L89" i="12"/>
  <c r="K89" i="12"/>
  <c r="J88" i="12"/>
  <c r="H88" i="12"/>
  <c r="L87" i="12"/>
  <c r="J87" i="12"/>
  <c r="I87" i="12"/>
  <c r="I86" i="12" s="1"/>
  <c r="H87" i="12"/>
  <c r="R86" i="12"/>
  <c r="O86" i="12"/>
  <c r="N86" i="12"/>
  <c r="M86" i="12"/>
  <c r="L86" i="12"/>
  <c r="K86" i="12"/>
  <c r="G79" i="12"/>
  <c r="H78" i="12"/>
  <c r="G78" i="12" s="1"/>
  <c r="O77" i="12"/>
  <c r="N77" i="12"/>
  <c r="M77" i="12"/>
  <c r="L77" i="12"/>
  <c r="K77" i="12"/>
  <c r="J77" i="12"/>
  <c r="I77" i="12"/>
  <c r="H77" i="12"/>
  <c r="G76" i="12"/>
  <c r="G75" i="12"/>
  <c r="R74" i="12"/>
  <c r="O74" i="12"/>
  <c r="N74" i="12"/>
  <c r="M74" i="12"/>
  <c r="L74" i="12"/>
  <c r="K74" i="12"/>
  <c r="J74" i="12"/>
  <c r="I74" i="12"/>
  <c r="H74" i="12"/>
  <c r="G73" i="12"/>
  <c r="G72" i="12"/>
  <c r="O71" i="12"/>
  <c r="N71" i="12"/>
  <c r="M71" i="12"/>
  <c r="L71" i="12"/>
  <c r="K71" i="12"/>
  <c r="J71" i="12"/>
  <c r="I71" i="12"/>
  <c r="H71" i="12"/>
  <c r="G70" i="12"/>
  <c r="G69" i="12"/>
  <c r="O68" i="12"/>
  <c r="N68" i="12"/>
  <c r="M68" i="12"/>
  <c r="L68" i="12"/>
  <c r="K68" i="12"/>
  <c r="J68" i="12"/>
  <c r="I68" i="12"/>
  <c r="H68" i="12"/>
  <c r="G67" i="12"/>
  <c r="G66" i="12"/>
  <c r="O65" i="12"/>
  <c r="N65" i="12"/>
  <c r="M65" i="12"/>
  <c r="L65" i="12"/>
  <c r="K65" i="12"/>
  <c r="J65" i="12"/>
  <c r="I65" i="12"/>
  <c r="H65" i="12"/>
  <c r="G64" i="12"/>
  <c r="G63" i="12"/>
  <c r="O62" i="12"/>
  <c r="N62" i="12"/>
  <c r="M62" i="12"/>
  <c r="L62" i="12"/>
  <c r="K62" i="12"/>
  <c r="J62" i="12"/>
  <c r="I62" i="12"/>
  <c r="H62" i="12"/>
  <c r="I125" i="12" l="1"/>
  <c r="G125" i="12"/>
  <c r="J86" i="12"/>
  <c r="G122" i="12"/>
  <c r="G124" i="12"/>
  <c r="G118" i="12"/>
  <c r="O113" i="12"/>
  <c r="K110" i="12"/>
  <c r="I121" i="12"/>
  <c r="G121" i="12" s="1"/>
  <c r="G119" i="12"/>
  <c r="G110" i="12"/>
  <c r="G111" i="12"/>
  <c r="G89" i="12"/>
  <c r="G65" i="12"/>
  <c r="G87" i="12"/>
  <c r="G62" i="12"/>
  <c r="G71" i="12"/>
  <c r="G77" i="12"/>
  <c r="L92" i="12"/>
  <c r="G92" i="12" s="1"/>
  <c r="G74" i="12"/>
  <c r="G68" i="12"/>
  <c r="G88" i="12"/>
  <c r="H86" i="12"/>
  <c r="G86" i="12" s="1"/>
  <c r="G132" i="12" l="1"/>
  <c r="L131" i="12"/>
  <c r="K131" i="12"/>
  <c r="J131" i="12"/>
  <c r="I131" i="12"/>
  <c r="H131" i="12"/>
  <c r="R130" i="12"/>
  <c r="J130" i="12" l="1"/>
  <c r="J115" i="12"/>
  <c r="J113" i="12" s="1"/>
  <c r="I130" i="12"/>
  <c r="I115" i="12"/>
  <c r="I113" i="12" s="1"/>
  <c r="L130" i="12"/>
  <c r="L115" i="12"/>
  <c r="L113" i="12" s="1"/>
  <c r="K130" i="12"/>
  <c r="K115" i="12"/>
  <c r="K113" i="12" s="1"/>
  <c r="H130" i="12"/>
  <c r="H115" i="12"/>
  <c r="G131" i="12"/>
  <c r="K109" i="12"/>
  <c r="J109" i="12"/>
  <c r="I109" i="12"/>
  <c r="H109" i="12"/>
  <c r="K108" i="12"/>
  <c r="J108" i="12"/>
  <c r="I108" i="12"/>
  <c r="H108" i="12"/>
  <c r="L107" i="12"/>
  <c r="G106" i="12"/>
  <c r="I105" i="12"/>
  <c r="I104" i="12" s="1"/>
  <c r="H105" i="12"/>
  <c r="H104" i="12" s="1"/>
  <c r="L104" i="12"/>
  <c r="K104" i="12"/>
  <c r="J104" i="12"/>
  <c r="G103" i="12"/>
  <c r="K102" i="12"/>
  <c r="K101" i="12" s="1"/>
  <c r="J102" i="12"/>
  <c r="J101" i="12" s="1"/>
  <c r="I102" i="12"/>
  <c r="I101" i="12" s="1"/>
  <c r="H102" i="12"/>
  <c r="H101" i="12" s="1"/>
  <c r="L101" i="12"/>
  <c r="G100" i="12"/>
  <c r="J99" i="12"/>
  <c r="J98" i="12" s="1"/>
  <c r="I99" i="12"/>
  <c r="H99" i="12"/>
  <c r="L98" i="12"/>
  <c r="K98" i="12"/>
  <c r="I98" i="12"/>
  <c r="G97" i="12"/>
  <c r="G96" i="12"/>
  <c r="L95" i="12"/>
  <c r="K95" i="12"/>
  <c r="J95" i="12"/>
  <c r="I95" i="12"/>
  <c r="H95" i="12"/>
  <c r="G130" i="12" l="1"/>
  <c r="G95" i="12"/>
  <c r="G115" i="12"/>
  <c r="H113" i="12"/>
  <c r="G113" i="12" s="1"/>
  <c r="I107" i="12"/>
  <c r="G102" i="12"/>
  <c r="G109" i="12"/>
  <c r="G108" i="12"/>
  <c r="G99" i="12"/>
  <c r="G105" i="12"/>
  <c r="J107" i="12"/>
  <c r="K107" i="12"/>
  <c r="G104" i="12"/>
  <c r="H98" i="12"/>
  <c r="H107" i="12"/>
  <c r="G98" i="12"/>
  <c r="G101" i="12"/>
  <c r="G107" i="12" l="1"/>
</calcChain>
</file>

<file path=xl/sharedStrings.xml><?xml version="1.0" encoding="utf-8"?>
<sst xmlns="http://schemas.openxmlformats.org/spreadsheetml/2006/main" count="685" uniqueCount="181">
  <si>
    <t>Всего</t>
  </si>
  <si>
    <t>№ 
п/п</t>
  </si>
  <si>
    <t xml:space="preserve">Соисполнитель, исполнитель основного мероприятия, исполнитель ведомственной целевой программы, исполнитель мероприятия  </t>
  </si>
  <si>
    <t>Финансовое обеспечение</t>
  </si>
  <si>
    <t>Объем (рублей)</t>
  </si>
  <si>
    <t>Единица измерения</t>
  </si>
  <si>
    <t>Значение</t>
  </si>
  <si>
    <t>Наименование</t>
  </si>
  <si>
    <t>СТРУКТУРА</t>
  </si>
  <si>
    <t xml:space="preserve">Наименование  показателя </t>
  </si>
  <si>
    <t xml:space="preserve">Срок реализации </t>
  </si>
  <si>
    <t>2020 год</t>
  </si>
  <si>
    <t>Источник</t>
  </si>
  <si>
    <t xml:space="preserve">с (год) </t>
  </si>
  <si>
    <t xml:space="preserve">по (год)
</t>
  </si>
  <si>
    <t>муниципальной программы Павлоградского района Омской области</t>
  </si>
  <si>
    <t>в том числе по годам реализации муниципальной программы</t>
  </si>
  <si>
    <t xml:space="preserve">Целевые индикаторы реализации мероприятия (группы мероприятий) муниципальной программы </t>
  </si>
  <si>
    <t>2022 год</t>
  </si>
  <si>
    <t>2023 год</t>
  </si>
  <si>
    <t>2024 год</t>
  </si>
  <si>
    <t>2025 год</t>
  </si>
  <si>
    <t>2026 год</t>
  </si>
  <si>
    <t>2027 год</t>
  </si>
  <si>
    <t>2020
год</t>
  </si>
  <si>
    <t>2022
год</t>
  </si>
  <si>
    <t>2023
год</t>
  </si>
  <si>
    <t>2024
год</t>
  </si>
  <si>
    <t>2025
год</t>
  </si>
  <si>
    <t>2026                год</t>
  </si>
  <si>
    <t>2027
год</t>
  </si>
  <si>
    <t>2021
год</t>
  </si>
  <si>
    <t>"Развитие экономического потенциала Павлоградского муниципального района Омской области на 2020-2027 годы"</t>
  </si>
  <si>
    <t>2021 год</t>
  </si>
  <si>
    <t>Всего, из них расходы за счет:</t>
  </si>
  <si>
    <t xml:space="preserve">1. Налоговых и неналоговых доходов, поступлений нецелевого характера из областного бюджета  </t>
  </si>
  <si>
    <t xml:space="preserve">2. Поступлений целевого характера из областного бюджета </t>
  </si>
  <si>
    <t>Х</t>
  </si>
  <si>
    <t>1. Налоговых и неналоговых доходов, поступлений нецелевого характера из областного бюджета</t>
  </si>
  <si>
    <t>2. Поступлений целевого характера из областного бюджета</t>
  </si>
  <si>
    <t>Задача 3 муниципальной программы:Улучшение качества жизни населения за счет повышения эффективности функционирования жилищно-коммунального хозяйства</t>
  </si>
  <si>
    <t>Цель подпрограммы "Развитие инженерной инфраструктуры села Павлоградского муниципального района":Улучшение качества жизни населения за счет повышения эффективности функционирования жилищно-коммунального хозяйства</t>
  </si>
  <si>
    <t>Комитет капитального строительства, 
архитектуры и ЖКК Администрации 
Павлоградского муниципального района</t>
  </si>
  <si>
    <t>Приобретено и установлено дизельных электростанций</t>
  </si>
  <si>
    <t>Единиц</t>
  </si>
  <si>
    <t>Комитет капитального строительства, архитектуры и ЖКК Администрации Павлоградского муниципального района</t>
  </si>
  <si>
    <t>Задача 4 муниципальной программы "Развитие экономического потенциала Павлоградского муниципального района Омской области": Создание условий для развития жилищной сферы, обеспечение доступности жилья для граждан и устойчивое функционирование жилищно-коммунального комплекса Павлоградского района Омской области</t>
  </si>
  <si>
    <t>Цель подпрограммы "Развитие жилищного строительства на территории Павлоградского района": Создание условий для развития жилищной сферы, обеспечение доступности жилья для граждан и устойчивое функционирование жилищно-коммунального комплекса Павлоградского района Омской области":</t>
  </si>
  <si>
    <t>1.1.1</t>
  </si>
  <si>
    <t>Мероприятие 1: Реализация мероприятий по обеспечению жильем молодых семей (предоставление молодым семьям социальных выплат на приобретение или строительство жилья, в том числе на уплату первоначального взноса при получении жилищного кредита, в том числе ипотечного, или жилищного займа на приобретение жилого помещения или строительство индивидуального жилого дома)</t>
  </si>
  <si>
    <t>2027</t>
  </si>
  <si>
    <t>Количество полученной документации</t>
  </si>
  <si>
    <t>5.1.1</t>
  </si>
  <si>
    <t>Мероприятие 1: Разработка документов территориального планирования для обеспечения устойчивого развития территории Павлоградского района</t>
  </si>
  <si>
    <t>Количество подготовленной на основе  документов территориального планирования документации по планировке территорий для комплексного освоения в целях жилищного строительства и размещения объектов регионального и местного значения</t>
  </si>
  <si>
    <t>единиц</t>
  </si>
  <si>
    <t>3</t>
  </si>
  <si>
    <t>0</t>
  </si>
  <si>
    <t>5.1.2</t>
  </si>
  <si>
    <t>Мероприятие 2: Подготовка документации по описанию опорно-межевых знаков на территории Павлоградского муниципального района</t>
  </si>
  <si>
    <t>5.1.3</t>
  </si>
  <si>
    <t>Мероприятие 3: Внесение изменений в схемы территориального планирования  Павлоградского муниципального района Омской области</t>
  </si>
  <si>
    <t>5.1.4</t>
  </si>
  <si>
    <t>Мероприятие 4: Подготовка Генеральных планов сельских поселений Павлоградского муниципального района, в том числе внесение изменений в такие планы</t>
  </si>
  <si>
    <t>5.1.5</t>
  </si>
  <si>
    <t>Мероприятие 5: Разработка документов территориального планирования и градостроительного зонирования (в том числе внесение изменений), включая подготовку документации для внесения сведений о границах населенных пунктов и границах территориальных зон в Единый государственный реестр недвижимости</t>
  </si>
  <si>
    <t>5</t>
  </si>
  <si>
    <t>Задача 11 муниципальной программы "Развитие экономического потенциала Павлоградского муниципального района Омской области": Повышение качества жизни сельского населения. Комплексное обустройство объектами социальной и инженерной инфраструктуры населенных пунктов, объектов агропромышленного комплекса, расположенных в сельской местности.</t>
  </si>
  <si>
    <t>Цель подпрограммы "Устойчивое развитие сельских территорий Павлоградского  района": Повышение качества жизни сельского населения. Комплексное обустройство сельских территорий.</t>
  </si>
  <si>
    <t>Мероприятие 1: Строительство жилья, предоставляемого по договору найма жилого помещения</t>
  </si>
  <si>
    <t>2020</t>
  </si>
  <si>
    <t>2025</t>
  </si>
  <si>
    <t xml:space="preserve">Ввод в действие (приобретение) жилья для граждан, проживающих в сельской местности
</t>
  </si>
  <si>
    <r>
      <t>тыс. м</t>
    </r>
    <r>
      <rPr>
        <vertAlign val="superscript"/>
        <sz val="13"/>
        <rFont val="Times New Roman"/>
        <family val="1"/>
        <charset val="204"/>
      </rPr>
      <t>2</t>
    </r>
  </si>
  <si>
    <t>2.1.1</t>
  </si>
  <si>
    <t>Мероприятие 1: Обустройство объектами инженерной инфраструктуры и благоустройство площадок, расположенных на сельских территориях, под компактную жилищную застройку</t>
  </si>
  <si>
    <t>Протяженность построенных сетей инженерной, социальной и дорожной инфраструктуры (микрорайон Магистральный)</t>
  </si>
  <si>
    <t>Км</t>
  </si>
  <si>
    <t>8,8</t>
  </si>
  <si>
    <t>6,7</t>
  </si>
  <si>
    <t>3. Поступлений целевого характера из бюджетов поселений</t>
  </si>
  <si>
    <t>2.1.5</t>
  </si>
  <si>
    <t>Мероприятие 5: Приобретение и установка резервного источника электроснабжения на котельную № 14 д. Глинкино, ул. Школьная, д. 15 Павлоградского муниципального района Омской области</t>
  </si>
  <si>
    <t>2.1.6</t>
  </si>
  <si>
    <t>Мероприятие 6: Приобретение и установка резервного источника электроснабжения на котельную № 17 р.п. Павлоградка, ул. Советская, д. 36 Павлоградского муниципального района Омской области</t>
  </si>
  <si>
    <t>2.1.7</t>
  </si>
  <si>
    <t>Мероприятие 7: Приобретение и установка резервного источника электроснабжения на котельную № 18 р.п. Павлоградка, ул. Зеленая, д. 15 Павлоградского муниципального района Омской области</t>
  </si>
  <si>
    <t>3.1.8</t>
  </si>
  <si>
    <t>Мероприятие 8: Газификация с. Южное</t>
  </si>
  <si>
    <t>2024</t>
  </si>
  <si>
    <t>4.1.1</t>
  </si>
  <si>
    <t>Мероприятие 1: Устройство и ремонт водопроводных колодцев в Павлоградском муниципальном районе</t>
  </si>
  <si>
    <t>Количество построенных и отремонтированных водопроводных колодцев</t>
  </si>
  <si>
    <t>4.1.6</t>
  </si>
  <si>
    <t>Мероприятие 6: Приобретение трубной продукции водохозяйственного  назначения для ремонта аварийных участков водопроводных сетей в с. Южное</t>
  </si>
  <si>
    <t>Количество приобретенной трубной продукции водохозяйственного  назначения</t>
  </si>
  <si>
    <t>Метр погонный</t>
  </si>
  <si>
    <t xml:space="preserve">Мероприятие 1: Капитальный ремонт,  ремонт и содержание автомобильных дорог общего пользования местного значения и искусственных сооружений, расположенных на них </t>
  </si>
  <si>
    <t>Доля протяженности автомобильных дорог с твердым покрытием, отвечающих нормативным требованиям к транспортно-эксплуатационным показателям, которая была отремонтирована в отчетном периоде</t>
  </si>
  <si>
    <t>Процент</t>
  </si>
  <si>
    <t>Количество молодых семей, получивших государственную поддержку на строительство (реконструкцию) индивидуального жилья</t>
  </si>
  <si>
    <t>Мероприятие 2: Предоставление денежной выплаты гражданам, имеющим трех и более детей, зарегистрированным в качестве многодетной семьи, взамен  бесплатного предоставления  в собственность земельных участков для  индивидуального жилищного строительства, расположенного на территории Омской области</t>
  </si>
  <si>
    <t>Количество семей,  получивших  денежную выплату, взамен  бесплатного предоставления  в собственность земельных участков для  индивидуального жилищного строительства, расположенного на территории Омской области</t>
  </si>
  <si>
    <t>1.1.2</t>
  </si>
  <si>
    <t>4.1.17</t>
  </si>
  <si>
    <t xml:space="preserve">Мероприятие 17: Выполнение работ по проекту: «Техническое перевооружение центральной  котельной № 1, расположенной по адресу: Омская область, Павлоградский муниципальный район, р.п. Павлоградка, ул. Коммунистическая, д. 14 "а"» </t>
  </si>
  <si>
    <t>Количество выплоненных работ согласно разработанной поректной документации</t>
  </si>
  <si>
    <t>11</t>
  </si>
  <si>
    <t>6.1.1</t>
  </si>
  <si>
    <t>Мероприятие 1: Организация сбора, транспортирования и захоронения твердых коммунальных отходов, а также ликвидация объектов размещения твердых коммунальных отходов на территории Омской области</t>
  </si>
  <si>
    <t>2022</t>
  </si>
  <si>
    <t>Юридический отдел Администрации 
Павлоградского муниципального района</t>
  </si>
  <si>
    <t>Количество ликвидированных мест несанкционированного размещения твердых коммунальных отходов</t>
  </si>
  <si>
    <t>7.1.1</t>
  </si>
  <si>
    <t>Мероприятие 1: Ликвидация мест несанкционированного размещения твердых коммунальных отходов</t>
  </si>
  <si>
    <t>Задача 6 муниципальной программы "Развитие экономического потенциала Павлоградского муниципального района Омской области на 2020-2027 годы": Повышение качества и результативности мер по противодействию терроризму и обеспечению безопасности дорожного движения на территории Павлоградского муниципального района</t>
  </si>
  <si>
    <t>Цель подпрограммы «Обеспечение безопасности территории Павлоградского муниципального района»: Повышение качества и результативности мер по противодействию терроризму и обеспечению безопасности дорожного движения на территории Павлоградского муниципального района.</t>
  </si>
  <si>
    <t>3.1.1</t>
  </si>
  <si>
    <t>Мероприятие 1: Оснащение автотранспортных средств общеобразовательных учреждений муниципального района, осуществляющих перевозку детей дополнительным оборудованием (ремнями безопасности, тахографами, системой спутниковой навигации ГЛОНАСС и ГЛОНАСС/GPS).</t>
  </si>
  <si>
    <t>Комитет образования 
Администрации Павлоградского муниципального
 района Омской области</t>
  </si>
  <si>
    <t>Доля лиц, пострадавших и погибших, в результате дорожно-транспортных происшествий</t>
  </si>
  <si>
    <t xml:space="preserve">Процент </t>
  </si>
  <si>
    <t>Мероприятие 1: Приобретение технических средств и оборудования</t>
  </si>
  <si>
    <t>Отдел по безопасности Администрация Павлоградского  муниципального района Омской области</t>
  </si>
  <si>
    <t>Количество приобретенных технических средств и оборудования</t>
  </si>
  <si>
    <t>4.1.2</t>
  </si>
  <si>
    <t>Мероприятие 2: Расходы за счет резервного фонда</t>
  </si>
  <si>
    <t>Управление сельского хозяйства, отдел по безопасности Администрация Павлоградского  муниципального района Омской области</t>
  </si>
  <si>
    <t>Доля населенных пунктов, охваченных вакцинацией парнокопытных  животных в ЛПХ</t>
  </si>
  <si>
    <t>процент</t>
  </si>
  <si>
    <t>16,5</t>
  </si>
  <si>
    <t>Количество приобретенной и отремонтированной техники для предупреждения ландшафтных пожаров</t>
  </si>
  <si>
    <t>Задача 2 муниципальной программы "Развитие экономического потенциала Павлоградского муниципального района Омской области на 2020-2027 годы": Создание благоприятных условий для устойчивого развития субъектов малого и среднего предпринимательства для формирования конкурентной среды на территории Павлоградского муниципального района Омской области</t>
  </si>
  <si>
    <t>Цель подпрограммы "Развитие малого и среднего предпринимательства на территории Павлоградского муниципального района" муниципальной программы: Создание благоприятных условий для устойчивого развития субъектов малого и среднего предпринимательства для формирования конкурентной среды на территории Павлоградского муниципального района Омской области</t>
  </si>
  <si>
    <t>1.2.1</t>
  </si>
  <si>
    <t>Мероприятие 1: 
Предоставление грантов начинающим субъектам малого предпринимательства</t>
  </si>
  <si>
    <t>Экономический комитет Администрации Павлоградского муниципального района</t>
  </si>
  <si>
    <t>Сумма, полученная на открытие и развитие собственного дела, полученная на одного субъекта предпринимательства</t>
  </si>
  <si>
    <t>2.1.2</t>
  </si>
  <si>
    <t>Мероприятие 1: Информационно- консультационная поддержка в сфере социального предпринимательства</t>
  </si>
  <si>
    <t>Количество опубликованных информационных материалов в сфере социального предпринимательства</t>
  </si>
  <si>
    <t>Задача  1 муниципальной программы "Развитие экономического потенциала Павлоградского муниципального района Омской области на 2020-2027 годы":  Создание комфортных условий жизнедеятельности, увеличение объема производства и переработки сельскохозяйственной продукции, обеспечение ее конкурентоспособности, обеспечение продовольственной безопасности Омской области и повышение финансовой устойчивости предприятий АПК.</t>
  </si>
  <si>
    <t>Цель подпрограммы "Развитие сельского хозяйства на территории Павлоградского муниципального района" муниципальной программы: Создание комфортных условий жизнедеятельности, увеличение объема производства и переработки сельскохозяйственной продукции, обеспечение ее конкурентоспособности, обеспечение продовольственной безопасности Омской области и повышение финансовой устойчивости предприятий АПК.</t>
  </si>
  <si>
    <t>Мероприятие 1:  Повышение квалификации руководителей, специалистов и рабочих массовых профессий организаций, индивидуальных предпринимателей, осуществляющих переработку и (или) производство сельскохозяйственной продукции, а также на профессиональное обучение по программам подготовки и (или) переподготовки по профессии «Тракторист-машинист сельскохозяйственного производства</t>
  </si>
  <si>
    <t>Управление сельского хозяйства 
Павлоградского  муниципального района</t>
  </si>
  <si>
    <t xml:space="preserve">Производство молока в хозяйствах  всех категорий </t>
  </si>
  <si>
    <t>тыс. тонн</t>
  </si>
  <si>
    <t>Мероприятие 2:  Стимулирование развития приоритетных подотраслей агропромышленного комплекса и развитие малых форм хозяйствования (обеспечение доступности кредитных ресурсов для граждан, ведущих личное подсобное хозяйство)</t>
  </si>
  <si>
    <t>2.1.3</t>
  </si>
  <si>
    <t>Мероприятие 3: Предоставление субсидий гражданам, ведущим личное подсобное хозяйство, на производство молока</t>
  </si>
  <si>
    <t>2.1.4</t>
  </si>
  <si>
    <t>Мероприятие 4: Проведение конкурсов мастерства "Лучший пахарь"</t>
  </si>
  <si>
    <t>Мероприятие 5. Проведение конкурсов "Лучший техник -осеменатор"</t>
  </si>
  <si>
    <t>Мероприятие 6: Проведение конкурсов    "Лучший оператор машинного доения"</t>
  </si>
  <si>
    <t>Мероприятие 7: Проведение смотра конкурса на  лучшую организацию по охране труда и условиям труда</t>
  </si>
  <si>
    <t>2.1.8</t>
  </si>
  <si>
    <t>Мероприятие 8 Подведение итогов трудового соперничества работников отрасли растениеводства и животноводства</t>
  </si>
  <si>
    <t>2.1.9</t>
  </si>
  <si>
    <t>Мероприятие 9: Проведение районной выставки по итогам года</t>
  </si>
  <si>
    <t>2.1.10</t>
  </si>
  <si>
    <t>Мероприятие 10: Проведение выставки продажи агропромышленного комплекса Омской области  "Сибирская агропромышленная неделя"</t>
  </si>
  <si>
    <t>2.1.11</t>
  </si>
  <si>
    <t>Мероприятие 11: Проведение праздника Дня пожилого человека</t>
  </si>
  <si>
    <t>2.1.12</t>
  </si>
  <si>
    <t>Мероприятие 12: Осуществление отдельных государственных полномочий Омской области по организации проведения мероприятий по отлову и содержанию безнадзорных животных на территории города Омска и территориях муниципальных районов Омской области</t>
  </si>
  <si>
    <t>Управление сельского хозяйства 
Павлоградского  муниципальног района</t>
  </si>
  <si>
    <t>2.2.26</t>
  </si>
  <si>
    <t>Мероприятие 26: Ремонт автомобильных дорог в р.п. Павлоградка по ул. 20 лет Победы, ул. Гвардейская, ул. Тытаря (от ул. 1 Мая до ул. Украинская), ул. Советская  (от ул. Ленина до ул. Величко), ул. Рабочая (от д. № 1 до ул. Советская) Павлоградского муниципального района Омской области</t>
  </si>
  <si>
    <t>Протяженность построенного участка автомобильной дороги</t>
  </si>
  <si>
    <t>км</t>
  </si>
  <si>
    <t>4. Прочих безвозмездных поступлений целевого характера</t>
  </si>
  <si>
    <t>2.2.27</t>
  </si>
  <si>
    <t>Мероприятие 27: Осуществление строительного контроля на объекте: "Ремонт автомобильных дорог в р.п. Павлоградка по ул. 20 лет Победы, ул. Гвардейская, ул. Тытаря (от ул. 1 Мая до ул. Украинская), ул. Советская  (от ул. Ленина до ул. Величко), ул. Рабочая (от д. № 1 до ул. Советская) Павлоградского муницип"ального района Омской области</t>
  </si>
  <si>
    <t>2</t>
  </si>
  <si>
    <t>Задача 2 подпрограммы "Устойчивое развитие сельских территорий Павлоградского  района": Комплексное обустройство объектами социальной и инженерной инфраструктуры населенных пунктов, объектов агропромышленного комплекса, расположенных в сельской местности</t>
  </si>
  <si>
    <t>2.2</t>
  </si>
  <si>
    <t>Основное мероприятие: Улучшение транспортной доступности сельских населенных пунктов Павлоградского муниципального  района</t>
  </si>
  <si>
    <t xml:space="preserve">Рублей </t>
  </si>
  <si>
    <t>Мероприятие 1: Информационная и консультационная поддержка физических лиц, не являющихся индивиудальными предпринимателями и применяющих специальный налоговый режим «Налог на профессиональный доход», на территории Павлоградского муниципального района Омской области</t>
  </si>
  <si>
    <t>Количество проведенных мероприятий с участием физических лиц, не являющихся индивиудальными предпринимателями и применяющих специальный налоговый режим «Налог на профессиональный доход»</t>
  </si>
  <si>
    <r>
      <t xml:space="preserve">Приложение  № 2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Павлоградского муниципального                                                                                                                                                                 района  Омской области 
</t>
    </r>
    <r>
      <rPr>
        <u/>
        <sz val="14"/>
        <color theme="1"/>
        <rFont val="Times New Roman"/>
        <family val="1"/>
        <charset val="204"/>
      </rPr>
      <t>от 22.11.2024 № 428-п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</si>
</sst>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0.0"/>
    <numFmt numFmtId="166" formatCode="0.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vertAlign val="superscript"/>
      <sz val="14"/>
      <name val="Times New Roman"/>
      <family val="1"/>
      <charset val="204"/>
    </font>
    <font>
      <sz val="11"/>
      <name val="Calibri"/>
      <family val="2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vertAlign val="superscript"/>
      <sz val="13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  <xf numFmtId="0" fontId="16" fillId="2" borderId="0" applyNumberFormat="0" applyBorder="0" applyAlignment="0" applyProtection="0"/>
  </cellStyleXfs>
  <cellXfs count="205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6" fillId="0" borderId="0" xfId="0" applyFont="1" applyFill="1"/>
    <xf numFmtId="0" fontId="2" fillId="0" borderId="0" xfId="0" applyFont="1" applyFill="1" applyAlignment="1"/>
    <xf numFmtId="0" fontId="6" fillId="0" borderId="0" xfId="0" applyFont="1" applyFill="1" applyBorder="1"/>
    <xf numFmtId="0" fontId="5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4" fontId="2" fillId="0" borderId="1" xfId="6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vertical="top" wrapText="1"/>
    </xf>
    <xf numFmtId="4" fontId="2" fillId="0" borderId="6" xfId="0" applyNumberFormat="1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vertical="top" wrapText="1"/>
    </xf>
    <xf numFmtId="0" fontId="2" fillId="0" borderId="6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vertical="top" wrapText="1"/>
    </xf>
    <xf numFmtId="4" fontId="2" fillId="0" borderId="4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2" fontId="2" fillId="0" borderId="7" xfId="0" applyNumberFormat="1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vertical="top" wrapText="1"/>
    </xf>
    <xf numFmtId="4" fontId="2" fillId="0" borderId="1" xfId="6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4" fontId="10" fillId="0" borderId="1" xfId="7" applyNumberFormat="1" applyFont="1" applyFill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6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2" fontId="2" fillId="0" borderId="4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/>
    </xf>
    <xf numFmtId="4" fontId="2" fillId="0" borderId="1" xfId="6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" fontId="2" fillId="0" borderId="4" xfId="6" applyNumberFormat="1" applyFont="1" applyFill="1" applyBorder="1" applyAlignment="1">
      <alignment horizontal="center" vertical="top" wrapText="1"/>
    </xf>
    <xf numFmtId="0" fontId="9" fillId="0" borderId="1" xfId="6" applyFont="1" applyFill="1" applyBorder="1" applyAlignment="1">
      <alignment horizontal="left" vertical="top" wrapText="1"/>
    </xf>
    <xf numFmtId="0" fontId="9" fillId="0" borderId="1" xfId="6" applyFont="1" applyFill="1" applyBorder="1" applyAlignment="1">
      <alignment vertical="top" wrapText="1"/>
    </xf>
    <xf numFmtId="0" fontId="9" fillId="0" borderId="3" xfId="6" applyFont="1" applyFill="1" applyBorder="1" applyAlignment="1">
      <alignment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49" fontId="7" fillId="0" borderId="8" xfId="0" applyNumberFormat="1" applyFont="1" applyFill="1" applyBorder="1" applyAlignment="1">
      <alignment horizontal="center" vertical="top" wrapText="1"/>
    </xf>
    <xf numFmtId="49" fontId="7" fillId="0" borderId="11" xfId="0" applyNumberFormat="1" applyFont="1" applyFill="1" applyBorder="1" applyAlignment="1">
      <alignment horizontal="center" vertical="top" wrapText="1"/>
    </xf>
    <xf numFmtId="49" fontId="7" fillId="0" borderId="9" xfId="0" applyNumberFormat="1" applyFont="1" applyFill="1" applyBorder="1" applyAlignment="1">
      <alignment horizontal="center" vertical="top" wrapText="1"/>
    </xf>
    <xf numFmtId="2" fontId="9" fillId="0" borderId="4" xfId="6" applyNumberFormat="1" applyFont="1" applyFill="1" applyBorder="1" applyAlignment="1">
      <alignment horizontal="left" vertical="top" wrapText="1"/>
    </xf>
    <xf numFmtId="2" fontId="9" fillId="0" borderId="5" xfId="6" applyNumberFormat="1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10" fillId="0" borderId="4" xfId="6" applyFont="1" applyFill="1" applyBorder="1" applyAlignment="1">
      <alignment horizontal="center" vertical="top" wrapText="1"/>
    </xf>
    <xf numFmtId="0" fontId="10" fillId="0" borderId="5" xfId="6" applyFont="1" applyFill="1" applyBorder="1" applyAlignment="1">
      <alignment horizontal="center" vertical="top" wrapText="1"/>
    </xf>
    <xf numFmtId="0" fontId="3" fillId="0" borderId="5" xfId="6" applyFill="1" applyBorder="1" applyAlignment="1"/>
    <xf numFmtId="0" fontId="0" fillId="0" borderId="6" xfId="0" applyFill="1" applyBorder="1" applyAlignment="1"/>
    <xf numFmtId="0" fontId="13" fillId="0" borderId="4" xfId="6" applyFont="1" applyFill="1" applyBorder="1" applyAlignment="1">
      <alignment horizontal="center" vertical="top" wrapText="1"/>
    </xf>
    <xf numFmtId="0" fontId="13" fillId="0" borderId="5" xfId="6" applyFont="1" applyFill="1" applyBorder="1" applyAlignment="1">
      <alignment horizontal="center" vertical="top" wrapText="1"/>
    </xf>
    <xf numFmtId="0" fontId="3" fillId="0" borderId="5" xfId="6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/>
    </xf>
    <xf numFmtId="3" fontId="9" fillId="0" borderId="4" xfId="0" applyNumberFormat="1" applyFont="1" applyFill="1" applyBorder="1" applyAlignment="1">
      <alignment horizontal="center" vertical="top" wrapText="1"/>
    </xf>
    <xf numFmtId="3" fontId="9" fillId="0" borderId="5" xfId="0" applyNumberFormat="1" applyFont="1" applyFill="1" applyBorder="1" applyAlignment="1">
      <alignment horizontal="center" vertical="top" wrapText="1"/>
    </xf>
    <xf numFmtId="3" fontId="9" fillId="0" borderId="6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 wrapText="1"/>
    </xf>
    <xf numFmtId="49" fontId="9" fillId="0" borderId="8" xfId="0" applyNumberFormat="1" applyFont="1" applyFill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49" fontId="9" fillId="0" borderId="9" xfId="0" applyNumberFormat="1" applyFont="1" applyFill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49" fontId="9" fillId="0" borderId="4" xfId="0" applyNumberFormat="1" applyFont="1" applyFill="1" applyBorder="1" applyAlignment="1">
      <alignment horizontal="left" vertical="top" wrapText="1"/>
    </xf>
    <xf numFmtId="49" fontId="9" fillId="0" borderId="5" xfId="0" applyNumberFormat="1" applyFont="1" applyFill="1" applyBorder="1" applyAlignment="1">
      <alignment horizontal="left" vertical="top" wrapText="1"/>
    </xf>
    <xf numFmtId="49" fontId="9" fillId="0" borderId="6" xfId="0" applyNumberFormat="1" applyFont="1" applyFill="1" applyBorder="1" applyAlignment="1">
      <alignment horizontal="left" vertical="top" wrapText="1"/>
    </xf>
    <xf numFmtId="49" fontId="9" fillId="0" borderId="4" xfId="0" applyNumberFormat="1" applyFont="1" applyFill="1" applyBorder="1" applyAlignment="1">
      <alignment horizontal="center" vertical="top" wrapText="1"/>
    </xf>
    <xf numFmtId="49" fontId="9" fillId="0" borderId="5" xfId="0" applyNumberFormat="1" applyFont="1" applyFill="1" applyBorder="1" applyAlignment="1">
      <alignment horizontal="center" vertical="top" wrapText="1"/>
    </xf>
    <xf numFmtId="49" fontId="9" fillId="0" borderId="6" xfId="0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horizontal="center" vertical="top" wrapText="1"/>
    </xf>
    <xf numFmtId="0" fontId="0" fillId="0" borderId="11" xfId="0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vertical="top" wrapText="1"/>
    </xf>
    <xf numFmtId="0" fontId="14" fillId="0" borderId="11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49" fontId="9" fillId="0" borderId="8" xfId="0" applyNumberFormat="1" applyFont="1" applyFill="1" applyBorder="1" applyAlignment="1">
      <alignment horizontal="center" vertical="top" wrapText="1"/>
    </xf>
    <xf numFmtId="0" fontId="14" fillId="0" borderId="11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165" fontId="2" fillId="0" borderId="5" xfId="8" applyNumberFormat="1" applyFont="1" applyFill="1" applyBorder="1" applyAlignment="1">
      <alignment horizontal="center" vertical="top" wrapText="1"/>
    </xf>
    <xf numFmtId="165" fontId="2" fillId="0" borderId="6" xfId="8" applyNumberFormat="1" applyFont="1" applyFill="1" applyBorder="1" applyAlignment="1">
      <alignment horizontal="center" vertical="top" wrapText="1"/>
    </xf>
    <xf numFmtId="49" fontId="10" fillId="0" borderId="4" xfId="0" applyNumberFormat="1" applyFont="1" applyFill="1" applyBorder="1" applyAlignment="1">
      <alignment horizontal="center" vertical="top" wrapText="1"/>
    </xf>
    <xf numFmtId="49" fontId="10" fillId="0" borderId="5" xfId="0" applyNumberFormat="1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 wrapText="1"/>
    </xf>
    <xf numFmtId="0" fontId="2" fillId="0" borderId="4" xfId="8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horizontal="center" vertical="top"/>
    </xf>
    <xf numFmtId="49" fontId="2" fillId="0" borderId="11" xfId="0" applyNumberFormat="1" applyFont="1" applyFill="1" applyBorder="1" applyAlignment="1">
      <alignment horizontal="center" vertical="top"/>
    </xf>
    <xf numFmtId="49" fontId="2" fillId="0" borderId="9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left" vertical="top"/>
    </xf>
    <xf numFmtId="166" fontId="2" fillId="0" borderId="4" xfId="8" applyNumberFormat="1" applyFont="1" applyFill="1" applyBorder="1" applyAlignment="1">
      <alignment horizontal="center" vertical="top" wrapText="1"/>
    </xf>
    <xf numFmtId="165" fontId="2" fillId="0" borderId="4" xfId="8" applyNumberFormat="1" applyFont="1" applyFill="1" applyBorder="1" applyAlignment="1">
      <alignment horizontal="center" vertical="top" wrapText="1"/>
    </xf>
    <xf numFmtId="165" fontId="12" fillId="0" borderId="5" xfId="0" applyNumberFormat="1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0" fontId="9" fillId="0" borderId="4" xfId="0" applyNumberFormat="1" applyFont="1" applyFill="1" applyBorder="1" applyAlignment="1">
      <alignment horizontal="left" vertical="top" wrapText="1"/>
    </xf>
    <xf numFmtId="0" fontId="9" fillId="0" borderId="5" xfId="0" applyNumberFormat="1" applyFont="1" applyFill="1" applyBorder="1" applyAlignment="1">
      <alignment horizontal="left" vertical="top" wrapText="1"/>
    </xf>
    <xf numFmtId="0" fontId="9" fillId="0" borderId="6" xfId="0" applyNumberFormat="1" applyFont="1" applyFill="1" applyBorder="1" applyAlignment="1">
      <alignment horizontal="left" vertical="top" wrapText="1"/>
    </xf>
    <xf numFmtId="0" fontId="9" fillId="0" borderId="1" xfId="8" applyFont="1" applyFill="1" applyBorder="1" applyAlignment="1">
      <alignment horizontal="center" vertical="top" wrapText="1"/>
    </xf>
    <xf numFmtId="0" fontId="2" fillId="0" borderId="1" xfId="8" applyFont="1" applyFill="1" applyBorder="1" applyAlignment="1">
      <alignment horizontal="center" vertical="top" wrapText="1"/>
    </xf>
    <xf numFmtId="166" fontId="2" fillId="0" borderId="1" xfId="8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49" fontId="2" fillId="0" borderId="4" xfId="0" applyNumberFormat="1" applyFont="1" applyFill="1" applyBorder="1" applyAlignment="1">
      <alignment horizontal="center" vertical="top"/>
    </xf>
    <xf numFmtId="49" fontId="2" fillId="0" borderId="5" xfId="0" applyNumberFormat="1" applyFont="1" applyFill="1" applyBorder="1" applyAlignment="1">
      <alignment horizontal="center" vertical="top"/>
    </xf>
    <xf numFmtId="49" fontId="2" fillId="0" borderId="6" xfId="0" applyNumberFormat="1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/>
    </xf>
    <xf numFmtId="0" fontId="0" fillId="0" borderId="5" xfId="0" applyFill="1" applyBorder="1" applyAlignment="1">
      <alignment horizontal="left" vertical="top" wrapText="1"/>
    </xf>
    <xf numFmtId="2" fontId="9" fillId="0" borderId="2" xfId="0" applyNumberFormat="1" applyFont="1" applyFill="1" applyBorder="1" applyAlignment="1">
      <alignment horizontal="left" vertical="top" wrapText="1"/>
    </xf>
    <xf numFmtId="2" fontId="9" fillId="0" borderId="3" xfId="0" applyNumberFormat="1" applyFont="1" applyFill="1" applyBorder="1" applyAlignment="1">
      <alignment horizontal="left" vertical="top" wrapText="1"/>
    </xf>
    <xf numFmtId="0" fontId="9" fillId="0" borderId="12" xfId="0" applyFont="1" applyFill="1" applyBorder="1" applyAlignment="1">
      <alignment horizontal="left" vertical="top" wrapText="1"/>
    </xf>
    <xf numFmtId="0" fontId="17" fillId="0" borderId="6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center" vertical="top"/>
    </xf>
    <xf numFmtId="0" fontId="2" fillId="0" borderId="5" xfId="8" applyFont="1" applyFill="1" applyBorder="1" applyAlignment="1">
      <alignment horizontal="center" vertical="top" wrapText="1"/>
    </xf>
    <xf numFmtId="0" fontId="2" fillId="0" borderId="6" xfId="8" applyFont="1" applyFill="1" applyBorder="1" applyAlignment="1">
      <alignment horizontal="center" vertical="top" wrapText="1"/>
    </xf>
  </cellXfs>
  <cellStyles count="9">
    <cellStyle name="Обычный" xfId="0" builtinId="0"/>
    <cellStyle name="Обычный 2" xfId="1"/>
    <cellStyle name="Обычный 2 2" xfId="2"/>
    <cellStyle name="Обычный 2 4" xfId="3"/>
    <cellStyle name="Обычный 2 7" xfId="4"/>
    <cellStyle name="Обычный 2 8" xfId="5"/>
    <cellStyle name="Обычный 3" xfId="6"/>
    <cellStyle name="Финансовый 2" xfId="7"/>
    <cellStyle name="Хороший" xfId="8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ordanenkoSV/Desktop/&#1080;&#1079;&#1084;.%20&#1074;%20%20&#1052;&#1055;/&#1080;&#1079;&#1084;&#1077;&#1085;&#1077;&#1085;&#1080;&#1103;%202024/11.2024/22.11.2024/&#1089;&#1090;&#1088;&#1091;&#1082;&#1090;&#1091;&#1088;&#1072;%20&#1056;&#1069;&#1055;%20&#1086;&#1090;%2022.11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"/>
      <sheetName val="Лист1"/>
    </sheetNames>
    <sheetDataSet>
      <sheetData sheetId="0">
        <row r="34">
          <cell r="G34">
            <v>134072.68</v>
          </cell>
          <cell r="H34">
            <v>20160</v>
          </cell>
          <cell r="I34">
            <v>20160</v>
          </cell>
          <cell r="J34">
            <v>20160</v>
          </cell>
          <cell r="K34">
            <v>19530</v>
          </cell>
          <cell r="L34">
            <v>35062.68</v>
          </cell>
          <cell r="M34">
            <v>8500</v>
          </cell>
          <cell r="N34">
            <v>8500</v>
          </cell>
          <cell r="O34">
            <v>2000</v>
          </cell>
        </row>
        <row r="35">
          <cell r="G35">
            <v>20493.580000000002</v>
          </cell>
          <cell r="H35">
            <v>403.2</v>
          </cell>
          <cell r="I35">
            <v>201.6</v>
          </cell>
          <cell r="J35">
            <v>201.6</v>
          </cell>
          <cell r="K35">
            <v>195.3</v>
          </cell>
          <cell r="L35">
            <v>491.88</v>
          </cell>
          <cell r="M35">
            <v>8500</v>
          </cell>
          <cell r="N35">
            <v>8500</v>
          </cell>
          <cell r="O35">
            <v>2000</v>
          </cell>
        </row>
        <row r="36">
          <cell r="G36">
            <v>113579.1</v>
          </cell>
          <cell r="H36">
            <v>19756.8</v>
          </cell>
          <cell r="I36">
            <v>19958.400000000001</v>
          </cell>
          <cell r="J36">
            <v>19958.400000000001</v>
          </cell>
          <cell r="K36">
            <v>19334.7</v>
          </cell>
          <cell r="L36">
            <v>34570.800000000003</v>
          </cell>
          <cell r="M36">
            <v>0</v>
          </cell>
          <cell r="N36">
            <v>0</v>
          </cell>
          <cell r="O36">
            <v>0</v>
          </cell>
        </row>
        <row r="37">
          <cell r="G37">
            <v>31916.07</v>
          </cell>
          <cell r="H37">
            <v>31916.07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G39">
            <v>31916.07</v>
          </cell>
          <cell r="H39">
            <v>31916.07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G40">
            <v>13281546.68</v>
          </cell>
          <cell r="H40">
            <v>2505959.04</v>
          </cell>
          <cell r="I40">
            <v>2533691.6800000002</v>
          </cell>
          <cell r="J40">
            <v>2623400</v>
          </cell>
          <cell r="K40">
            <v>2529758.79</v>
          </cell>
          <cell r="L40">
            <v>2986737.17</v>
          </cell>
          <cell r="M40">
            <v>30000</v>
          </cell>
          <cell r="N40">
            <v>30000</v>
          </cell>
          <cell r="O40">
            <v>42000</v>
          </cell>
        </row>
        <row r="41">
          <cell r="G41">
            <v>266995.81</v>
          </cell>
          <cell r="H41">
            <v>50119.18</v>
          </cell>
          <cell r="I41">
            <v>25336.92</v>
          </cell>
          <cell r="J41">
            <v>26234</v>
          </cell>
          <cell r="K41">
            <v>25297.59</v>
          </cell>
          <cell r="L41">
            <v>38008.120000000003</v>
          </cell>
          <cell r="M41">
            <v>30000</v>
          </cell>
          <cell r="N41">
            <v>30000</v>
          </cell>
          <cell r="O41">
            <v>42000</v>
          </cell>
        </row>
        <row r="42">
          <cell r="G42">
            <v>13014550.869999999</v>
          </cell>
          <cell r="H42">
            <v>2455839.86</v>
          </cell>
          <cell r="I42">
            <v>2508354.7599999998</v>
          </cell>
          <cell r="J42">
            <v>2597166</v>
          </cell>
          <cell r="K42">
            <v>2504461.2000000002</v>
          </cell>
          <cell r="L42">
            <v>2948729.05</v>
          </cell>
          <cell r="M42">
            <v>0</v>
          </cell>
          <cell r="N42">
            <v>0</v>
          </cell>
          <cell r="O42">
            <v>0</v>
          </cell>
        </row>
        <row r="241">
          <cell r="G241">
            <v>82486071.310000002</v>
          </cell>
          <cell r="H241">
            <v>9701652.25</v>
          </cell>
          <cell r="I241">
            <v>11986031.880000001</v>
          </cell>
          <cell r="J241">
            <v>7916696.0499999998</v>
          </cell>
          <cell r="K241">
            <v>11188273.84</v>
          </cell>
          <cell r="L241">
            <v>13095057.289999999</v>
          </cell>
          <cell r="M241">
            <v>10159840</v>
          </cell>
          <cell r="N241">
            <v>16938520</v>
          </cell>
          <cell r="O241">
            <v>1500000</v>
          </cell>
        </row>
        <row r="242">
          <cell r="G242">
            <v>14954854.470000001</v>
          </cell>
          <cell r="H242">
            <v>1013408.86</v>
          </cell>
          <cell r="I242">
            <v>1973307.03</v>
          </cell>
          <cell r="J242">
            <v>455133.36</v>
          </cell>
          <cell r="K242">
            <v>2350171.9500000002</v>
          </cell>
          <cell r="L242">
            <v>3755033.27</v>
          </cell>
          <cell r="M242">
            <v>1089700</v>
          </cell>
          <cell r="N242">
            <v>2818100</v>
          </cell>
          <cell r="O242">
            <v>1500000</v>
          </cell>
        </row>
        <row r="243">
          <cell r="G243">
            <v>2500000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2500000</v>
          </cell>
          <cell r="M243">
            <v>0</v>
          </cell>
          <cell r="N243">
            <v>0</v>
          </cell>
          <cell r="O243">
            <v>0</v>
          </cell>
        </row>
        <row r="244">
          <cell r="G244">
            <v>65031216.840000004</v>
          </cell>
          <cell r="H244">
            <v>8688243.3900000006</v>
          </cell>
          <cell r="I244">
            <v>10012724.85</v>
          </cell>
          <cell r="J244">
            <v>7461562.6900000004</v>
          </cell>
          <cell r="K244">
            <v>8838101.8900000006</v>
          </cell>
          <cell r="L244">
            <v>6840024.0199999996</v>
          </cell>
          <cell r="M244">
            <v>9070140</v>
          </cell>
          <cell r="N244">
            <v>14120420</v>
          </cell>
          <cell r="O244">
            <v>0</v>
          </cell>
        </row>
        <row r="743">
          <cell r="G743">
            <v>537053748.86000001</v>
          </cell>
          <cell r="H743">
            <v>29773293.940000001</v>
          </cell>
          <cell r="I743">
            <v>92593017.780000001</v>
          </cell>
          <cell r="J743">
            <v>374261253.54000002</v>
          </cell>
          <cell r="K743">
            <v>20511183.600000001</v>
          </cell>
          <cell r="L743">
            <v>18915000</v>
          </cell>
          <cell r="M743">
            <v>1000000</v>
          </cell>
          <cell r="N743">
            <v>0</v>
          </cell>
          <cell r="O743">
            <v>0</v>
          </cell>
        </row>
        <row r="744">
          <cell r="G744">
            <v>3562556.48</v>
          </cell>
          <cell r="H744">
            <v>685869.21</v>
          </cell>
          <cell r="I744">
            <v>382567.13</v>
          </cell>
          <cell r="J744">
            <v>1257233.1399999999</v>
          </cell>
          <cell r="K744">
            <v>236887</v>
          </cell>
          <cell r="L744">
            <v>0</v>
          </cell>
          <cell r="M744">
            <v>1000000</v>
          </cell>
          <cell r="N744">
            <v>0</v>
          </cell>
          <cell r="O744">
            <v>0</v>
          </cell>
        </row>
        <row r="745">
          <cell r="G745">
            <v>507207753.87</v>
          </cell>
          <cell r="H745">
            <v>27941269.16</v>
          </cell>
          <cell r="I745">
            <v>87960578.450000003</v>
          </cell>
          <cell r="J745">
            <v>354670406.25999999</v>
          </cell>
          <cell r="K745">
            <v>18690500</v>
          </cell>
          <cell r="L745">
            <v>17945000</v>
          </cell>
          <cell r="M745">
            <v>0</v>
          </cell>
          <cell r="N745">
            <v>0</v>
          </cell>
          <cell r="O745">
            <v>0</v>
          </cell>
        </row>
        <row r="746">
          <cell r="G746">
            <v>7872925.7999999998</v>
          </cell>
          <cell r="H746">
            <v>1146155.57</v>
          </cell>
          <cell r="I746">
            <v>527935.19999999995</v>
          </cell>
          <cell r="J746">
            <v>3645038.43</v>
          </cell>
          <cell r="K746">
            <v>1583796.6</v>
          </cell>
          <cell r="L746">
            <v>970000</v>
          </cell>
          <cell r="M746">
            <v>0</v>
          </cell>
          <cell r="N746">
            <v>0</v>
          </cell>
          <cell r="O746">
            <v>0</v>
          </cell>
        </row>
        <row r="747">
          <cell r="G747">
            <v>18410512.710000001</v>
          </cell>
          <cell r="H747">
            <v>0</v>
          </cell>
          <cell r="I747">
            <v>3721937</v>
          </cell>
          <cell r="J747">
            <v>14688575.710000001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</row>
        <row r="766">
          <cell r="G766">
            <v>515740006.23000002</v>
          </cell>
          <cell r="H766">
            <v>12626576.57</v>
          </cell>
          <cell r="I766">
            <v>87025992.519999996</v>
          </cell>
          <cell r="J766">
            <v>374261253.54000002</v>
          </cell>
          <cell r="K766">
            <v>20511183.600000001</v>
          </cell>
          <cell r="L766">
            <v>18915000</v>
          </cell>
          <cell r="M766">
            <v>2400000</v>
          </cell>
          <cell r="N766">
            <v>0</v>
          </cell>
          <cell r="O766">
            <v>0</v>
          </cell>
        </row>
        <row r="767">
          <cell r="G767">
            <v>2598336.0099999998</v>
          </cell>
          <cell r="H767">
            <v>0</v>
          </cell>
          <cell r="I767">
            <v>104215.87</v>
          </cell>
          <cell r="J767">
            <v>1257233.1399999999</v>
          </cell>
          <cell r="K767">
            <v>236887</v>
          </cell>
          <cell r="L767">
            <v>0</v>
          </cell>
          <cell r="M767">
            <v>1000000</v>
          </cell>
          <cell r="N767">
            <v>0</v>
          </cell>
          <cell r="O767">
            <v>0</v>
          </cell>
        </row>
        <row r="768">
          <cell r="G768">
            <v>485458231.70999998</v>
          </cell>
          <cell r="H768">
            <v>11480421</v>
          </cell>
          <cell r="I768">
            <v>82671904.450000003</v>
          </cell>
          <cell r="J768">
            <v>354670406.25999999</v>
          </cell>
          <cell r="K768">
            <v>18690500</v>
          </cell>
          <cell r="L768">
            <v>17945000</v>
          </cell>
          <cell r="M768">
            <v>0</v>
          </cell>
          <cell r="N768">
            <v>0</v>
          </cell>
          <cell r="O768">
            <v>0</v>
          </cell>
        </row>
        <row r="769">
          <cell r="G769">
            <v>9272925.8000000007</v>
          </cell>
          <cell r="H769">
            <v>1146155.57</v>
          </cell>
          <cell r="I769">
            <v>527935.19999999995</v>
          </cell>
          <cell r="J769">
            <v>3645038.43</v>
          </cell>
          <cell r="K769">
            <v>1583796.6</v>
          </cell>
          <cell r="L769">
            <v>970000</v>
          </cell>
          <cell r="M769">
            <v>1400000</v>
          </cell>
          <cell r="N769">
            <v>0</v>
          </cell>
          <cell r="O769">
            <v>0</v>
          </cell>
        </row>
        <row r="770">
          <cell r="G770">
            <v>18410512.710000001</v>
          </cell>
          <cell r="H770">
            <v>0</v>
          </cell>
          <cell r="I770">
            <v>3721937</v>
          </cell>
          <cell r="J770">
            <v>14688575.710000001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</row>
        <row r="876">
          <cell r="G876">
            <v>1000000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1000000</v>
          </cell>
          <cell r="N876">
            <v>0</v>
          </cell>
          <cell r="O876">
            <v>0</v>
          </cell>
        </row>
        <row r="877"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</row>
        <row r="878"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</row>
        <row r="879">
          <cell r="G879">
            <v>1000000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1000000</v>
          </cell>
          <cell r="N879">
            <v>0</v>
          </cell>
          <cell r="O879">
            <v>0</v>
          </cell>
        </row>
        <row r="880"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</row>
        <row r="881">
          <cell r="G881">
            <v>400000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400000</v>
          </cell>
          <cell r="N881">
            <v>0</v>
          </cell>
          <cell r="O881">
            <v>0</v>
          </cell>
        </row>
        <row r="882"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</row>
        <row r="883"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</row>
        <row r="884">
          <cell r="G884">
            <v>400000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400000</v>
          </cell>
          <cell r="N884">
            <v>0</v>
          </cell>
          <cell r="O884">
            <v>0</v>
          </cell>
        </row>
        <row r="885"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155"/>
  <sheetViews>
    <sheetView tabSelected="1" view="pageBreakPreview" zoomScaleNormal="100" zoomScaleSheetLayoutView="100" workbookViewId="0">
      <pane xSplit="2" ySplit="10" topLeftCell="N164" activePane="bottomRight" state="frozen"/>
      <selection pane="topRight" activeCell="C1" sqref="C1"/>
      <selection pane="bottomLeft" activeCell="A12" sqref="A12"/>
      <selection pane="bottomRight" activeCell="L57" sqref="L57:Z59"/>
    </sheetView>
  </sheetViews>
  <sheetFormatPr defaultColWidth="9.28515625" defaultRowHeight="18.75" x14ac:dyDescent="0.3"/>
  <cols>
    <col min="1" max="1" width="12.7109375" style="1" customWidth="1"/>
    <col min="2" max="2" width="45.85546875" style="1" customWidth="1"/>
    <col min="3" max="3" width="12.42578125" style="1" customWidth="1"/>
    <col min="4" max="4" width="13.5703125" style="1" customWidth="1"/>
    <col min="5" max="5" width="27.28515625" style="2" customWidth="1"/>
    <col min="6" max="6" width="25.7109375" style="1" customWidth="1"/>
    <col min="7" max="7" width="20" style="1" customWidth="1"/>
    <col min="8" max="8" width="18" style="1" customWidth="1"/>
    <col min="9" max="9" width="18.5703125" style="1" customWidth="1"/>
    <col min="10" max="10" width="19.85546875" style="1" customWidth="1"/>
    <col min="11" max="11" width="18.5703125" style="1" customWidth="1"/>
    <col min="12" max="12" width="17.42578125" style="1" customWidth="1"/>
    <col min="13" max="13" width="18.28515625" style="1" customWidth="1"/>
    <col min="14" max="14" width="18.7109375" style="1" customWidth="1"/>
    <col min="15" max="15" width="19.42578125" style="1" customWidth="1"/>
    <col min="16" max="16" width="35" style="1" customWidth="1"/>
    <col min="17" max="17" width="16.5703125" style="1" customWidth="1"/>
    <col min="18" max="18" width="13.28515625" style="1" bestFit="1" customWidth="1"/>
    <col min="19" max="20" width="13" style="1" bestFit="1" customWidth="1"/>
    <col min="21" max="22" width="12.140625" style="1" customWidth="1"/>
    <col min="23" max="23" width="12.42578125" style="1" customWidth="1"/>
    <col min="24" max="24" width="13" style="1" bestFit="1" customWidth="1"/>
    <col min="25" max="26" width="11" style="1" customWidth="1"/>
    <col min="27" max="27" width="58" style="3" hidden="1" customWidth="1"/>
    <col min="28" max="28" width="21.5703125" style="3" customWidth="1"/>
    <col min="29" max="16384" width="9.28515625" style="3"/>
  </cols>
  <sheetData>
    <row r="1" spans="1:258" ht="95.25" customHeigh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29" t="s">
        <v>180</v>
      </c>
      <c r="R1" s="130"/>
      <c r="S1" s="130"/>
      <c r="T1" s="130"/>
      <c r="U1" s="130"/>
      <c r="V1" s="130"/>
      <c r="W1" s="130"/>
      <c r="X1" s="130"/>
      <c r="Y1" s="130"/>
      <c r="Z1" s="130"/>
    </row>
    <row r="2" spans="1:258" x14ac:dyDescent="0.3">
      <c r="A2" s="131" t="s">
        <v>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</row>
    <row r="3" spans="1:258" x14ac:dyDescent="0.3">
      <c r="A3" s="131" t="s">
        <v>15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</row>
    <row r="4" spans="1:258" x14ac:dyDescent="0.3">
      <c r="A4" s="131" t="s">
        <v>32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</row>
    <row r="5" spans="1:258" ht="22.5" x14ac:dyDescent="0.3">
      <c r="A5" s="6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</row>
    <row r="6" spans="1:258" ht="41.65" customHeight="1" x14ac:dyDescent="0.25">
      <c r="A6" s="80" t="s">
        <v>1</v>
      </c>
      <c r="B6" s="80" t="s">
        <v>9</v>
      </c>
      <c r="C6" s="80" t="s">
        <v>10</v>
      </c>
      <c r="D6" s="80"/>
      <c r="E6" s="80" t="s">
        <v>2</v>
      </c>
      <c r="F6" s="125" t="s">
        <v>3</v>
      </c>
      <c r="G6" s="125"/>
      <c r="H6" s="125"/>
      <c r="I6" s="125"/>
      <c r="J6" s="125"/>
      <c r="K6" s="125"/>
      <c r="L6" s="125"/>
      <c r="M6" s="125"/>
      <c r="N6" s="125"/>
      <c r="O6" s="132"/>
      <c r="P6" s="125" t="s">
        <v>17</v>
      </c>
      <c r="Q6" s="125"/>
      <c r="R6" s="125"/>
      <c r="S6" s="125"/>
      <c r="T6" s="125"/>
      <c r="U6" s="125"/>
      <c r="V6" s="125"/>
      <c r="W6" s="125"/>
      <c r="X6" s="125"/>
      <c r="Y6" s="125"/>
      <c r="Z6" s="12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</row>
    <row r="7" spans="1:258" ht="21.75" customHeight="1" x14ac:dyDescent="0.25">
      <c r="A7" s="80"/>
      <c r="B7" s="80"/>
      <c r="C7" s="80" t="s">
        <v>13</v>
      </c>
      <c r="D7" s="80" t="s">
        <v>14</v>
      </c>
      <c r="E7" s="80"/>
      <c r="F7" s="80" t="s">
        <v>12</v>
      </c>
      <c r="G7" s="80" t="s">
        <v>4</v>
      </c>
      <c r="H7" s="80"/>
      <c r="I7" s="80"/>
      <c r="J7" s="80"/>
      <c r="K7" s="80"/>
      <c r="L7" s="80"/>
      <c r="M7" s="80"/>
      <c r="N7" s="80"/>
      <c r="O7" s="133"/>
      <c r="P7" s="80" t="s">
        <v>7</v>
      </c>
      <c r="Q7" s="80" t="s">
        <v>5</v>
      </c>
      <c r="R7" s="80" t="s">
        <v>6</v>
      </c>
      <c r="S7" s="80"/>
      <c r="T7" s="80"/>
      <c r="U7" s="80"/>
      <c r="V7" s="80"/>
      <c r="W7" s="80"/>
      <c r="X7" s="80"/>
      <c r="Y7" s="80"/>
      <c r="Z7" s="80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</row>
    <row r="8" spans="1:258" ht="42.75" customHeight="1" x14ac:dyDescent="0.25">
      <c r="A8" s="80"/>
      <c r="B8" s="80"/>
      <c r="C8" s="80"/>
      <c r="D8" s="80"/>
      <c r="E8" s="80"/>
      <c r="F8" s="80"/>
      <c r="G8" s="80" t="s">
        <v>0</v>
      </c>
      <c r="H8" s="80" t="s">
        <v>16</v>
      </c>
      <c r="I8" s="80"/>
      <c r="J8" s="80"/>
      <c r="K8" s="80"/>
      <c r="L8" s="80"/>
      <c r="M8" s="80"/>
      <c r="N8" s="80"/>
      <c r="O8" s="133"/>
      <c r="P8" s="80"/>
      <c r="Q8" s="80"/>
      <c r="R8" s="80" t="s">
        <v>0</v>
      </c>
      <c r="S8" s="80" t="s">
        <v>16</v>
      </c>
      <c r="T8" s="80"/>
      <c r="U8" s="80"/>
      <c r="V8" s="80"/>
      <c r="W8" s="80"/>
      <c r="X8" s="80"/>
      <c r="Y8" s="80"/>
      <c r="Z8" s="80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IW8" s="5"/>
      <c r="IX8" s="5"/>
    </row>
    <row r="9" spans="1:258" ht="42" customHeight="1" x14ac:dyDescent="0.25">
      <c r="A9" s="80"/>
      <c r="B9" s="80"/>
      <c r="C9" s="80"/>
      <c r="D9" s="80"/>
      <c r="E9" s="80"/>
      <c r="F9" s="80"/>
      <c r="G9" s="80"/>
      <c r="H9" s="7" t="s">
        <v>11</v>
      </c>
      <c r="I9" s="7" t="s">
        <v>33</v>
      </c>
      <c r="J9" s="7" t="s">
        <v>18</v>
      </c>
      <c r="K9" s="7" t="s">
        <v>19</v>
      </c>
      <c r="L9" s="7" t="s">
        <v>20</v>
      </c>
      <c r="M9" s="7" t="s">
        <v>21</v>
      </c>
      <c r="N9" s="7" t="s">
        <v>22</v>
      </c>
      <c r="O9" s="7" t="s">
        <v>23</v>
      </c>
      <c r="P9" s="80"/>
      <c r="Q9" s="80"/>
      <c r="R9" s="80"/>
      <c r="S9" s="7" t="s">
        <v>24</v>
      </c>
      <c r="T9" s="7" t="s">
        <v>31</v>
      </c>
      <c r="U9" s="7" t="s">
        <v>25</v>
      </c>
      <c r="V9" s="7" t="s">
        <v>26</v>
      </c>
      <c r="W9" s="7" t="s">
        <v>27</v>
      </c>
      <c r="X9" s="7" t="s">
        <v>28</v>
      </c>
      <c r="Y9" s="7" t="s">
        <v>29</v>
      </c>
      <c r="Z9" s="7" t="s">
        <v>30</v>
      </c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</row>
    <row r="10" spans="1:258" ht="23.65" customHeight="1" x14ac:dyDescent="0.25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10</v>
      </c>
      <c r="K10" s="7">
        <v>11</v>
      </c>
      <c r="L10" s="7">
        <v>12</v>
      </c>
      <c r="M10" s="7">
        <v>13</v>
      </c>
      <c r="N10" s="7">
        <v>14</v>
      </c>
      <c r="O10" s="7">
        <v>15</v>
      </c>
      <c r="P10" s="7">
        <v>16</v>
      </c>
      <c r="Q10" s="7">
        <v>17</v>
      </c>
      <c r="R10" s="7">
        <v>18</v>
      </c>
      <c r="S10" s="7">
        <v>19</v>
      </c>
      <c r="T10" s="7">
        <v>20</v>
      </c>
      <c r="U10" s="7">
        <v>21</v>
      </c>
      <c r="V10" s="7">
        <v>22</v>
      </c>
      <c r="W10" s="7">
        <v>23</v>
      </c>
      <c r="X10" s="7">
        <v>24</v>
      </c>
      <c r="Y10" s="7">
        <v>25</v>
      </c>
      <c r="Z10" s="7">
        <v>26</v>
      </c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</row>
    <row r="11" spans="1:258" ht="95.25" customHeight="1" x14ac:dyDescent="0.25">
      <c r="A11" s="179" t="s">
        <v>141</v>
      </c>
      <c r="B11" s="180"/>
      <c r="C11" s="50">
        <v>2020</v>
      </c>
      <c r="D11" s="50">
        <v>2027</v>
      </c>
      <c r="E11" s="46" t="s">
        <v>37</v>
      </c>
      <c r="F11" s="46" t="s">
        <v>37</v>
      </c>
      <c r="G11" s="45" t="s">
        <v>37</v>
      </c>
      <c r="H11" s="45" t="s">
        <v>37</v>
      </c>
      <c r="I11" s="45" t="s">
        <v>37</v>
      </c>
      <c r="J11" s="45" t="s">
        <v>37</v>
      </c>
      <c r="K11" s="45" t="s">
        <v>37</v>
      </c>
      <c r="L11" s="45" t="s">
        <v>37</v>
      </c>
      <c r="M11" s="45" t="s">
        <v>37</v>
      </c>
      <c r="N11" s="45" t="s">
        <v>37</v>
      </c>
      <c r="O11" s="45" t="s">
        <v>37</v>
      </c>
      <c r="P11" s="46" t="s">
        <v>37</v>
      </c>
      <c r="Q11" s="45" t="s">
        <v>37</v>
      </c>
      <c r="R11" s="45" t="s">
        <v>37</v>
      </c>
      <c r="S11" s="45" t="s">
        <v>37</v>
      </c>
      <c r="T11" s="45" t="s">
        <v>37</v>
      </c>
      <c r="U11" s="45" t="s">
        <v>37</v>
      </c>
      <c r="V11" s="45" t="s">
        <v>37</v>
      </c>
      <c r="W11" s="45" t="s">
        <v>37</v>
      </c>
      <c r="X11" s="45" t="s">
        <v>37</v>
      </c>
      <c r="Y11" s="45" t="s">
        <v>37</v>
      </c>
      <c r="Z11" s="45" t="s">
        <v>37</v>
      </c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</row>
    <row r="12" spans="1:258" ht="135.75" customHeight="1" x14ac:dyDescent="0.25">
      <c r="A12" s="179" t="s">
        <v>142</v>
      </c>
      <c r="B12" s="180"/>
      <c r="C12" s="50">
        <v>2020</v>
      </c>
      <c r="D12" s="50">
        <v>2027</v>
      </c>
      <c r="E12" s="39" t="s">
        <v>37</v>
      </c>
      <c r="F12" s="39" t="s">
        <v>37</v>
      </c>
      <c r="G12" s="50" t="s">
        <v>37</v>
      </c>
      <c r="H12" s="50" t="s">
        <v>37</v>
      </c>
      <c r="I12" s="50" t="s">
        <v>37</v>
      </c>
      <c r="J12" s="50" t="s">
        <v>37</v>
      </c>
      <c r="K12" s="50" t="s">
        <v>37</v>
      </c>
      <c r="L12" s="50" t="s">
        <v>37</v>
      </c>
      <c r="M12" s="50" t="s">
        <v>37</v>
      </c>
      <c r="N12" s="50" t="s">
        <v>37</v>
      </c>
      <c r="O12" s="50" t="s">
        <v>37</v>
      </c>
      <c r="P12" s="39" t="s">
        <v>37</v>
      </c>
      <c r="Q12" s="50" t="s">
        <v>37</v>
      </c>
      <c r="R12" s="50" t="s">
        <v>37</v>
      </c>
      <c r="S12" s="50" t="s">
        <v>37</v>
      </c>
      <c r="T12" s="50" t="s">
        <v>37</v>
      </c>
      <c r="U12" s="50" t="s">
        <v>37</v>
      </c>
      <c r="V12" s="50" t="s">
        <v>37</v>
      </c>
      <c r="W12" s="50" t="s">
        <v>37</v>
      </c>
      <c r="X12" s="50" t="s">
        <v>37</v>
      </c>
      <c r="Y12" s="50" t="s">
        <v>37</v>
      </c>
      <c r="Z12" s="50" t="s">
        <v>37</v>
      </c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</row>
    <row r="13" spans="1:258" ht="29.25" customHeight="1" x14ac:dyDescent="0.25">
      <c r="A13" s="94" t="s">
        <v>74</v>
      </c>
      <c r="B13" s="181" t="s">
        <v>143</v>
      </c>
      <c r="C13" s="100">
        <v>2020</v>
      </c>
      <c r="D13" s="100">
        <v>2027</v>
      </c>
      <c r="E13" s="103" t="s">
        <v>144</v>
      </c>
      <c r="F13" s="51" t="s">
        <v>34</v>
      </c>
      <c r="G13" s="13">
        <f>[1]Приложение!G34</f>
        <v>134072.68</v>
      </c>
      <c r="H13" s="13">
        <f>[1]Приложение!H34</f>
        <v>20160</v>
      </c>
      <c r="I13" s="13">
        <f>[1]Приложение!I34</f>
        <v>20160</v>
      </c>
      <c r="J13" s="13">
        <f>[1]Приложение!J34</f>
        <v>20160</v>
      </c>
      <c r="K13" s="15">
        <f>[1]Приложение!K34</f>
        <v>19530</v>
      </c>
      <c r="L13" s="15">
        <f>[1]Приложение!L34</f>
        <v>35062.68</v>
      </c>
      <c r="M13" s="15">
        <f>[1]Приложение!M34</f>
        <v>8500</v>
      </c>
      <c r="N13" s="13">
        <f>[1]Приложение!N34</f>
        <v>8500</v>
      </c>
      <c r="O13" s="13">
        <f>[1]Приложение!O34</f>
        <v>2000</v>
      </c>
      <c r="P13" s="184" t="s">
        <v>145</v>
      </c>
      <c r="Q13" s="185" t="s">
        <v>146</v>
      </c>
      <c r="R13" s="186">
        <f>SUM(S13:Z15)</f>
        <v>301.17700000000002</v>
      </c>
      <c r="S13" s="176">
        <v>37.228999999999999</v>
      </c>
      <c r="T13" s="176">
        <v>37.600999999999999</v>
      </c>
      <c r="U13" s="177">
        <v>37</v>
      </c>
      <c r="V13" s="177">
        <v>36.799999999999997</v>
      </c>
      <c r="W13" s="177">
        <v>34</v>
      </c>
      <c r="X13" s="176">
        <v>39.128</v>
      </c>
      <c r="Y13" s="176">
        <v>39.518999999999998</v>
      </c>
      <c r="Z13" s="177">
        <v>39.9</v>
      </c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</row>
    <row r="14" spans="1:258" ht="50.25" customHeight="1" x14ac:dyDescent="0.25">
      <c r="A14" s="95"/>
      <c r="B14" s="182"/>
      <c r="C14" s="101"/>
      <c r="D14" s="101"/>
      <c r="E14" s="104"/>
      <c r="F14" s="14" t="s">
        <v>35</v>
      </c>
      <c r="G14" s="13">
        <f>[1]Приложение!G35</f>
        <v>20493.580000000002</v>
      </c>
      <c r="H14" s="10">
        <f>[1]Приложение!H35</f>
        <v>403.2</v>
      </c>
      <c r="I14" s="10">
        <f>[1]Приложение!I35</f>
        <v>201.6</v>
      </c>
      <c r="J14" s="10">
        <f>[1]Приложение!J35</f>
        <v>201.6</v>
      </c>
      <c r="K14" s="30">
        <f>[1]Приложение!K35</f>
        <v>195.3</v>
      </c>
      <c r="L14" s="30">
        <f>[1]Приложение!L35</f>
        <v>491.88</v>
      </c>
      <c r="M14" s="30">
        <f>[1]Приложение!M35</f>
        <v>8500</v>
      </c>
      <c r="N14" s="10">
        <f>[1]Приложение!N35</f>
        <v>8500</v>
      </c>
      <c r="O14" s="10">
        <f>[1]Приложение!O35</f>
        <v>2000</v>
      </c>
      <c r="P14" s="164"/>
      <c r="Q14" s="133"/>
      <c r="R14" s="187"/>
      <c r="S14" s="166"/>
      <c r="T14" s="166"/>
      <c r="U14" s="178"/>
      <c r="V14" s="178"/>
      <c r="W14" s="178"/>
      <c r="X14" s="166"/>
      <c r="Y14" s="166"/>
      <c r="Z14" s="166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</row>
    <row r="15" spans="1:258" ht="36.75" customHeight="1" x14ac:dyDescent="0.25">
      <c r="A15" s="95"/>
      <c r="B15" s="183"/>
      <c r="C15" s="101"/>
      <c r="D15" s="101"/>
      <c r="E15" s="104"/>
      <c r="F15" s="14" t="s">
        <v>36</v>
      </c>
      <c r="G15" s="13">
        <f>[1]Приложение!G36</f>
        <v>113579.1</v>
      </c>
      <c r="H15" s="10">
        <f>[1]Приложение!H36</f>
        <v>19756.8</v>
      </c>
      <c r="I15" s="10">
        <f>[1]Приложение!I36</f>
        <v>19958.400000000001</v>
      </c>
      <c r="J15" s="10">
        <f>[1]Приложение!J36</f>
        <v>19958.400000000001</v>
      </c>
      <c r="K15" s="30">
        <f>[1]Приложение!K36</f>
        <v>19334.7</v>
      </c>
      <c r="L15" s="30">
        <f>[1]Приложение!L36</f>
        <v>34570.800000000003</v>
      </c>
      <c r="M15" s="30">
        <f>[1]Приложение!M36</f>
        <v>0</v>
      </c>
      <c r="N15" s="10">
        <f>[1]Приложение!N36</f>
        <v>0</v>
      </c>
      <c r="O15" s="10">
        <f>[1]Приложение!O36</f>
        <v>0</v>
      </c>
      <c r="P15" s="164"/>
      <c r="Q15" s="133"/>
      <c r="R15" s="187"/>
      <c r="S15" s="166"/>
      <c r="T15" s="166"/>
      <c r="U15" s="178"/>
      <c r="V15" s="178"/>
      <c r="W15" s="178"/>
      <c r="X15" s="166"/>
      <c r="Y15" s="166"/>
      <c r="Z15" s="166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</row>
    <row r="16" spans="1:258" ht="35.25" customHeight="1" x14ac:dyDescent="0.25">
      <c r="A16" s="94" t="s">
        <v>138</v>
      </c>
      <c r="B16" s="97" t="s">
        <v>147</v>
      </c>
      <c r="C16" s="100">
        <v>2020</v>
      </c>
      <c r="D16" s="100">
        <v>2027</v>
      </c>
      <c r="E16" s="103" t="s">
        <v>144</v>
      </c>
      <c r="F16" s="51" t="s">
        <v>34</v>
      </c>
      <c r="G16" s="13">
        <f>[1]Приложение!G37</f>
        <v>31916.07</v>
      </c>
      <c r="H16" s="10">
        <f>[1]Приложение!H37</f>
        <v>31916.07</v>
      </c>
      <c r="I16" s="10">
        <f>[1]Приложение!I37</f>
        <v>0</v>
      </c>
      <c r="J16" s="10">
        <f>[1]Приложение!J37</f>
        <v>0</v>
      </c>
      <c r="K16" s="30">
        <f>[1]Приложение!K37</f>
        <v>0</v>
      </c>
      <c r="L16" s="30">
        <f>[1]Приложение!L37</f>
        <v>0</v>
      </c>
      <c r="M16" s="30">
        <f>[1]Приложение!M37</f>
        <v>0</v>
      </c>
      <c r="N16" s="10">
        <f>[1]Приложение!N37</f>
        <v>0</v>
      </c>
      <c r="O16" s="10">
        <f>[1]Приложение!O37</f>
        <v>0</v>
      </c>
      <c r="P16" s="184" t="s">
        <v>145</v>
      </c>
      <c r="Q16" s="185" t="s">
        <v>146</v>
      </c>
      <c r="R16" s="186">
        <f>SUM(S16:Z18)</f>
        <v>301.17700000000002</v>
      </c>
      <c r="S16" s="176">
        <v>37.228999999999999</v>
      </c>
      <c r="T16" s="176">
        <v>37.600999999999999</v>
      </c>
      <c r="U16" s="177">
        <v>37</v>
      </c>
      <c r="V16" s="177">
        <v>36.799999999999997</v>
      </c>
      <c r="W16" s="177">
        <v>34</v>
      </c>
      <c r="X16" s="176">
        <v>39.128</v>
      </c>
      <c r="Y16" s="176">
        <v>39.518999999999998</v>
      </c>
      <c r="Z16" s="177">
        <v>39.9</v>
      </c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</row>
    <row r="17" spans="1:258" ht="48.75" customHeight="1" x14ac:dyDescent="0.25">
      <c r="A17" s="95"/>
      <c r="B17" s="98"/>
      <c r="C17" s="101"/>
      <c r="D17" s="101"/>
      <c r="E17" s="104"/>
      <c r="F17" s="14" t="s">
        <v>35</v>
      </c>
      <c r="G17" s="13">
        <f>[1]Приложение!G38</f>
        <v>0</v>
      </c>
      <c r="H17" s="10">
        <f>[1]Приложение!H38</f>
        <v>0</v>
      </c>
      <c r="I17" s="10">
        <f>[1]Приложение!I38</f>
        <v>0</v>
      </c>
      <c r="J17" s="10">
        <f>[1]Приложение!J38</f>
        <v>0</v>
      </c>
      <c r="K17" s="30">
        <f>[1]Приложение!K38</f>
        <v>0</v>
      </c>
      <c r="L17" s="30">
        <f>[1]Приложение!L38</f>
        <v>0</v>
      </c>
      <c r="M17" s="30">
        <f>[1]Приложение!M38</f>
        <v>0</v>
      </c>
      <c r="N17" s="10">
        <f>[1]Приложение!N38</f>
        <v>0</v>
      </c>
      <c r="O17" s="10">
        <f>[1]Приложение!O38</f>
        <v>0</v>
      </c>
      <c r="P17" s="164"/>
      <c r="Q17" s="133"/>
      <c r="R17" s="187"/>
      <c r="S17" s="166"/>
      <c r="T17" s="166"/>
      <c r="U17" s="178"/>
      <c r="V17" s="178"/>
      <c r="W17" s="178"/>
      <c r="X17" s="166"/>
      <c r="Y17" s="166"/>
      <c r="Z17" s="166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</row>
    <row r="18" spans="1:258" ht="36.75" customHeight="1" x14ac:dyDescent="0.25">
      <c r="A18" s="95"/>
      <c r="B18" s="98"/>
      <c r="C18" s="101"/>
      <c r="D18" s="101"/>
      <c r="E18" s="104"/>
      <c r="F18" s="14" t="s">
        <v>36</v>
      </c>
      <c r="G18" s="10">
        <f>[1]Приложение!G39</f>
        <v>31916.07</v>
      </c>
      <c r="H18" s="10">
        <f>[1]Приложение!H39</f>
        <v>31916.07</v>
      </c>
      <c r="I18" s="10">
        <f>[1]Приложение!I39</f>
        <v>0</v>
      </c>
      <c r="J18" s="10">
        <f>[1]Приложение!J39</f>
        <v>0</v>
      </c>
      <c r="K18" s="30">
        <f>[1]Приложение!K39</f>
        <v>0</v>
      </c>
      <c r="L18" s="30">
        <f>[1]Приложение!L39</f>
        <v>0</v>
      </c>
      <c r="M18" s="30">
        <f>[1]Приложение!M39</f>
        <v>0</v>
      </c>
      <c r="N18" s="10">
        <f>[1]Приложение!N39</f>
        <v>0</v>
      </c>
      <c r="O18" s="10">
        <f>[1]Приложение!O39</f>
        <v>0</v>
      </c>
      <c r="P18" s="164"/>
      <c r="Q18" s="133"/>
      <c r="R18" s="187"/>
      <c r="S18" s="166"/>
      <c r="T18" s="166"/>
      <c r="U18" s="178"/>
      <c r="V18" s="178"/>
      <c r="W18" s="178"/>
      <c r="X18" s="166"/>
      <c r="Y18" s="166"/>
      <c r="Z18" s="166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</row>
    <row r="19" spans="1:258" ht="30.75" customHeight="1" x14ac:dyDescent="0.25">
      <c r="A19" s="94" t="s">
        <v>148</v>
      </c>
      <c r="B19" s="97" t="s">
        <v>149</v>
      </c>
      <c r="C19" s="100">
        <v>2020</v>
      </c>
      <c r="D19" s="100">
        <v>2027</v>
      </c>
      <c r="E19" s="103" t="s">
        <v>144</v>
      </c>
      <c r="F19" s="51" t="s">
        <v>34</v>
      </c>
      <c r="G19" s="13">
        <f>[1]Приложение!G40</f>
        <v>13281546.68</v>
      </c>
      <c r="H19" s="13">
        <f>[1]Приложение!H40</f>
        <v>2505959.04</v>
      </c>
      <c r="I19" s="13">
        <f>[1]Приложение!I40</f>
        <v>2533691.6800000002</v>
      </c>
      <c r="J19" s="13">
        <f>[1]Приложение!J40</f>
        <v>2623400</v>
      </c>
      <c r="K19" s="15">
        <f>[1]Приложение!K40</f>
        <v>2529758.79</v>
      </c>
      <c r="L19" s="15">
        <f>[1]Приложение!L40</f>
        <v>2986737.17</v>
      </c>
      <c r="M19" s="15">
        <f>[1]Приложение!M40</f>
        <v>30000</v>
      </c>
      <c r="N19" s="13">
        <f>[1]Приложение!N40</f>
        <v>30000</v>
      </c>
      <c r="O19" s="13">
        <f>[1]Приложение!O40</f>
        <v>42000</v>
      </c>
      <c r="P19" s="184" t="s">
        <v>145</v>
      </c>
      <c r="Q19" s="185" t="s">
        <v>146</v>
      </c>
      <c r="R19" s="186">
        <f>SUM(S19:Z21)</f>
        <v>301.17700000000002</v>
      </c>
      <c r="S19" s="176">
        <v>37.228999999999999</v>
      </c>
      <c r="T19" s="176">
        <v>37.600999999999999</v>
      </c>
      <c r="U19" s="177">
        <v>37</v>
      </c>
      <c r="V19" s="177">
        <v>36.799999999999997</v>
      </c>
      <c r="W19" s="177">
        <v>34</v>
      </c>
      <c r="X19" s="176">
        <v>39.128</v>
      </c>
      <c r="Y19" s="176">
        <v>39.518999999999998</v>
      </c>
      <c r="Z19" s="177">
        <v>39.9</v>
      </c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</row>
    <row r="20" spans="1:258" ht="53.25" customHeight="1" x14ac:dyDescent="0.25">
      <c r="A20" s="95"/>
      <c r="B20" s="98"/>
      <c r="C20" s="101"/>
      <c r="D20" s="101"/>
      <c r="E20" s="104"/>
      <c r="F20" s="14" t="s">
        <v>35</v>
      </c>
      <c r="G20" s="13">
        <f>[1]Приложение!G41</f>
        <v>266995.81</v>
      </c>
      <c r="H20" s="10">
        <f>[1]Приложение!H41</f>
        <v>50119.18</v>
      </c>
      <c r="I20" s="10">
        <f>[1]Приложение!I41</f>
        <v>25336.92</v>
      </c>
      <c r="J20" s="10">
        <f>[1]Приложение!J41</f>
        <v>26234</v>
      </c>
      <c r="K20" s="30">
        <f>[1]Приложение!K41</f>
        <v>25297.59</v>
      </c>
      <c r="L20" s="30">
        <f>[1]Приложение!L41</f>
        <v>38008.120000000003</v>
      </c>
      <c r="M20" s="30">
        <f>[1]Приложение!M41</f>
        <v>30000</v>
      </c>
      <c r="N20" s="10">
        <f>[1]Приложение!N41</f>
        <v>30000</v>
      </c>
      <c r="O20" s="10">
        <f>[1]Приложение!O41</f>
        <v>42000</v>
      </c>
      <c r="P20" s="164"/>
      <c r="Q20" s="133"/>
      <c r="R20" s="187"/>
      <c r="S20" s="166"/>
      <c r="T20" s="166"/>
      <c r="U20" s="178"/>
      <c r="V20" s="178"/>
      <c r="W20" s="178"/>
      <c r="X20" s="166"/>
      <c r="Y20" s="166"/>
      <c r="Z20" s="166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</row>
    <row r="21" spans="1:258" ht="35.25" customHeight="1" x14ac:dyDescent="0.25">
      <c r="A21" s="95"/>
      <c r="B21" s="98"/>
      <c r="C21" s="101"/>
      <c r="D21" s="101"/>
      <c r="E21" s="104"/>
      <c r="F21" s="14" t="s">
        <v>36</v>
      </c>
      <c r="G21" s="13">
        <f>[1]Приложение!G42</f>
        <v>13014550.869999999</v>
      </c>
      <c r="H21" s="10">
        <f>[1]Приложение!H42</f>
        <v>2455839.86</v>
      </c>
      <c r="I21" s="10">
        <f>[1]Приложение!I42</f>
        <v>2508354.7599999998</v>
      </c>
      <c r="J21" s="10">
        <f>[1]Приложение!J42</f>
        <v>2597166</v>
      </c>
      <c r="K21" s="30">
        <f>[1]Приложение!K42</f>
        <v>2504461.2000000002</v>
      </c>
      <c r="L21" s="30">
        <f>[1]Приложение!L42</f>
        <v>2948729.05</v>
      </c>
      <c r="M21" s="30">
        <f>[1]Приложение!M42</f>
        <v>0</v>
      </c>
      <c r="N21" s="10">
        <f>[1]Приложение!N42</f>
        <v>0</v>
      </c>
      <c r="O21" s="10">
        <f>[1]Приложение!O42</f>
        <v>0</v>
      </c>
      <c r="P21" s="164"/>
      <c r="Q21" s="133"/>
      <c r="R21" s="187"/>
      <c r="S21" s="166"/>
      <c r="T21" s="166"/>
      <c r="U21" s="178"/>
      <c r="V21" s="178"/>
      <c r="W21" s="178"/>
      <c r="X21" s="166"/>
      <c r="Y21" s="166"/>
      <c r="Z21" s="166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</row>
    <row r="22" spans="1:258" ht="33.75" customHeight="1" x14ac:dyDescent="0.25">
      <c r="A22" s="94" t="s">
        <v>150</v>
      </c>
      <c r="B22" s="97" t="s">
        <v>151</v>
      </c>
      <c r="C22" s="100">
        <v>2020</v>
      </c>
      <c r="D22" s="100">
        <v>2027</v>
      </c>
      <c r="E22" s="103" t="s">
        <v>144</v>
      </c>
      <c r="F22" s="51" t="s">
        <v>34</v>
      </c>
      <c r="G22" s="13">
        <f t="shared" ref="G22:G48" si="0">SUM(H22:O22)</f>
        <v>10000</v>
      </c>
      <c r="H22" s="10">
        <f>H23+H24</f>
        <v>0</v>
      </c>
      <c r="I22" s="10">
        <f t="shared" ref="I22:O22" si="1">I23+I24</f>
        <v>0</v>
      </c>
      <c r="J22" s="10">
        <f t="shared" si="1"/>
        <v>0</v>
      </c>
      <c r="K22" s="30">
        <f t="shared" si="1"/>
        <v>0</v>
      </c>
      <c r="L22" s="30">
        <f t="shared" si="1"/>
        <v>0</v>
      </c>
      <c r="M22" s="30">
        <f t="shared" si="1"/>
        <v>0</v>
      </c>
      <c r="N22" s="10">
        <f t="shared" si="1"/>
        <v>0</v>
      </c>
      <c r="O22" s="10">
        <f t="shared" si="1"/>
        <v>10000</v>
      </c>
      <c r="P22" s="184" t="s">
        <v>145</v>
      </c>
      <c r="Q22" s="185" t="s">
        <v>146</v>
      </c>
      <c r="R22" s="186">
        <f>SUM(S22:Z24)</f>
        <v>301.17700000000002</v>
      </c>
      <c r="S22" s="176">
        <v>37.228999999999999</v>
      </c>
      <c r="T22" s="176">
        <v>37.600999999999999</v>
      </c>
      <c r="U22" s="177">
        <v>37</v>
      </c>
      <c r="V22" s="177">
        <v>36.799999999999997</v>
      </c>
      <c r="W22" s="177">
        <v>34</v>
      </c>
      <c r="X22" s="176">
        <v>39.128</v>
      </c>
      <c r="Y22" s="176">
        <v>39.518999999999998</v>
      </c>
      <c r="Z22" s="177">
        <v>39.9</v>
      </c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</row>
    <row r="23" spans="1:258" ht="47.25" customHeight="1" x14ac:dyDescent="0.25">
      <c r="A23" s="95"/>
      <c r="B23" s="98"/>
      <c r="C23" s="101"/>
      <c r="D23" s="101"/>
      <c r="E23" s="104"/>
      <c r="F23" s="14" t="s">
        <v>35</v>
      </c>
      <c r="G23" s="13">
        <f t="shared" si="0"/>
        <v>10000</v>
      </c>
      <c r="H23" s="10">
        <v>0</v>
      </c>
      <c r="I23" s="10">
        <v>0</v>
      </c>
      <c r="J23" s="10">
        <v>0</v>
      </c>
      <c r="K23" s="30">
        <v>0</v>
      </c>
      <c r="L23" s="30">
        <v>0</v>
      </c>
      <c r="M23" s="30">
        <v>0</v>
      </c>
      <c r="N23" s="10">
        <v>0</v>
      </c>
      <c r="O23" s="10">
        <v>10000</v>
      </c>
      <c r="P23" s="164"/>
      <c r="Q23" s="133"/>
      <c r="R23" s="187"/>
      <c r="S23" s="166"/>
      <c r="T23" s="166"/>
      <c r="U23" s="178"/>
      <c r="V23" s="178"/>
      <c r="W23" s="178"/>
      <c r="X23" s="166"/>
      <c r="Y23" s="166"/>
      <c r="Z23" s="166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</row>
    <row r="24" spans="1:258" ht="39.75" customHeight="1" x14ac:dyDescent="0.25">
      <c r="A24" s="95"/>
      <c r="B24" s="98"/>
      <c r="C24" s="101"/>
      <c r="D24" s="101"/>
      <c r="E24" s="104"/>
      <c r="F24" s="14" t="s">
        <v>36</v>
      </c>
      <c r="G24" s="13">
        <f t="shared" si="0"/>
        <v>0</v>
      </c>
      <c r="H24" s="10">
        <v>0</v>
      </c>
      <c r="I24" s="10">
        <v>0</v>
      </c>
      <c r="J24" s="10">
        <v>0</v>
      </c>
      <c r="K24" s="30">
        <v>0</v>
      </c>
      <c r="L24" s="30">
        <v>0</v>
      </c>
      <c r="M24" s="30">
        <v>0</v>
      </c>
      <c r="N24" s="10">
        <v>0</v>
      </c>
      <c r="O24" s="10">
        <v>0</v>
      </c>
      <c r="P24" s="164"/>
      <c r="Q24" s="133"/>
      <c r="R24" s="187"/>
      <c r="S24" s="166"/>
      <c r="T24" s="166"/>
      <c r="U24" s="178"/>
      <c r="V24" s="178"/>
      <c r="W24" s="178"/>
      <c r="X24" s="166"/>
      <c r="Y24" s="166"/>
      <c r="Z24" s="166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</row>
    <row r="25" spans="1:258" ht="35.25" customHeight="1" x14ac:dyDescent="0.25">
      <c r="A25" s="94" t="s">
        <v>81</v>
      </c>
      <c r="B25" s="97" t="s">
        <v>152</v>
      </c>
      <c r="C25" s="100">
        <v>2020</v>
      </c>
      <c r="D25" s="100">
        <v>2027</v>
      </c>
      <c r="E25" s="103" t="s">
        <v>144</v>
      </c>
      <c r="F25" s="51" t="s">
        <v>34</v>
      </c>
      <c r="G25" s="13">
        <f t="shared" si="0"/>
        <v>80000</v>
      </c>
      <c r="H25" s="10">
        <f>H26+H27</f>
        <v>0</v>
      </c>
      <c r="I25" s="10">
        <f t="shared" ref="I25:O25" si="2">I26+I27</f>
        <v>0</v>
      </c>
      <c r="J25" s="10">
        <f t="shared" si="2"/>
        <v>0</v>
      </c>
      <c r="K25" s="30">
        <f t="shared" si="2"/>
        <v>0</v>
      </c>
      <c r="L25" s="30">
        <f t="shared" si="2"/>
        <v>20000</v>
      </c>
      <c r="M25" s="30">
        <f t="shared" si="2"/>
        <v>20000</v>
      </c>
      <c r="N25" s="10">
        <f t="shared" si="2"/>
        <v>20000</v>
      </c>
      <c r="O25" s="10">
        <f t="shared" si="2"/>
        <v>20000</v>
      </c>
      <c r="P25" s="184" t="s">
        <v>145</v>
      </c>
      <c r="Q25" s="185" t="s">
        <v>146</v>
      </c>
      <c r="R25" s="186">
        <f>SUM(S25:Z27)</f>
        <v>301.17700000000002</v>
      </c>
      <c r="S25" s="176">
        <v>37.228999999999999</v>
      </c>
      <c r="T25" s="176">
        <v>37.600999999999999</v>
      </c>
      <c r="U25" s="177">
        <v>37</v>
      </c>
      <c r="V25" s="177">
        <v>36.799999999999997</v>
      </c>
      <c r="W25" s="177">
        <v>34</v>
      </c>
      <c r="X25" s="176">
        <v>39.128</v>
      </c>
      <c r="Y25" s="176">
        <v>39.518999999999998</v>
      </c>
      <c r="Z25" s="177">
        <v>39.9</v>
      </c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</row>
    <row r="26" spans="1:258" ht="41.25" customHeight="1" x14ac:dyDescent="0.25">
      <c r="A26" s="95"/>
      <c r="B26" s="98"/>
      <c r="C26" s="101"/>
      <c r="D26" s="101"/>
      <c r="E26" s="104"/>
      <c r="F26" s="14" t="s">
        <v>35</v>
      </c>
      <c r="G26" s="13">
        <f t="shared" si="0"/>
        <v>80000</v>
      </c>
      <c r="H26" s="13">
        <f>20000-20000</f>
        <v>0</v>
      </c>
      <c r="I26" s="13">
        <f>20000-20000</f>
        <v>0</v>
      </c>
      <c r="J26" s="13">
        <f>20000-20000</f>
        <v>0</v>
      </c>
      <c r="K26" s="15">
        <v>0</v>
      </c>
      <c r="L26" s="15">
        <v>20000</v>
      </c>
      <c r="M26" s="15">
        <v>20000</v>
      </c>
      <c r="N26" s="13">
        <v>20000</v>
      </c>
      <c r="O26" s="13">
        <v>20000</v>
      </c>
      <c r="P26" s="164"/>
      <c r="Q26" s="133"/>
      <c r="R26" s="187"/>
      <c r="S26" s="166"/>
      <c r="T26" s="166"/>
      <c r="U26" s="178"/>
      <c r="V26" s="178"/>
      <c r="W26" s="178"/>
      <c r="X26" s="166"/>
      <c r="Y26" s="166"/>
      <c r="Z26" s="166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</row>
    <row r="27" spans="1:258" ht="35.25" customHeight="1" x14ac:dyDescent="0.25">
      <c r="A27" s="95"/>
      <c r="B27" s="98"/>
      <c r="C27" s="101"/>
      <c r="D27" s="101"/>
      <c r="E27" s="104"/>
      <c r="F27" s="14" t="s">
        <v>36</v>
      </c>
      <c r="G27" s="13">
        <f t="shared" si="0"/>
        <v>0</v>
      </c>
      <c r="H27" s="10">
        <v>0</v>
      </c>
      <c r="I27" s="10">
        <v>0</v>
      </c>
      <c r="J27" s="10">
        <v>0</v>
      </c>
      <c r="K27" s="30">
        <v>0</v>
      </c>
      <c r="L27" s="30">
        <v>0</v>
      </c>
      <c r="M27" s="30">
        <v>0</v>
      </c>
      <c r="N27" s="10">
        <v>0</v>
      </c>
      <c r="O27" s="10">
        <v>0</v>
      </c>
      <c r="P27" s="164"/>
      <c r="Q27" s="133"/>
      <c r="R27" s="187"/>
      <c r="S27" s="166"/>
      <c r="T27" s="166"/>
      <c r="U27" s="178"/>
      <c r="V27" s="178"/>
      <c r="W27" s="178"/>
      <c r="X27" s="166"/>
      <c r="Y27" s="166"/>
      <c r="Z27" s="166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</row>
    <row r="28" spans="1:258" ht="30.75" customHeight="1" x14ac:dyDescent="0.25">
      <c r="A28" s="94" t="s">
        <v>83</v>
      </c>
      <c r="B28" s="97" t="s">
        <v>153</v>
      </c>
      <c r="C28" s="100">
        <v>2020</v>
      </c>
      <c r="D28" s="100">
        <v>2027</v>
      </c>
      <c r="E28" s="103" t="s">
        <v>144</v>
      </c>
      <c r="F28" s="51" t="s">
        <v>34</v>
      </c>
      <c r="G28" s="13">
        <f t="shared" si="0"/>
        <v>100000</v>
      </c>
      <c r="H28" s="10">
        <f>H29+H30</f>
        <v>0</v>
      </c>
      <c r="I28" s="10">
        <f t="shared" ref="I28:O28" si="3">I29+I30</f>
        <v>0</v>
      </c>
      <c r="J28" s="10">
        <f t="shared" si="3"/>
        <v>0</v>
      </c>
      <c r="K28" s="30">
        <f t="shared" si="3"/>
        <v>0</v>
      </c>
      <c r="L28" s="30">
        <f t="shared" si="3"/>
        <v>25000</v>
      </c>
      <c r="M28" s="30">
        <f t="shared" si="3"/>
        <v>25000</v>
      </c>
      <c r="N28" s="10">
        <f t="shared" si="3"/>
        <v>25000</v>
      </c>
      <c r="O28" s="10">
        <f t="shared" si="3"/>
        <v>25000</v>
      </c>
      <c r="P28" s="184" t="s">
        <v>145</v>
      </c>
      <c r="Q28" s="185" t="s">
        <v>146</v>
      </c>
      <c r="R28" s="186">
        <f>SUM(S28:Z30)</f>
        <v>301.17700000000002</v>
      </c>
      <c r="S28" s="176">
        <v>37.228999999999999</v>
      </c>
      <c r="T28" s="176">
        <v>37.600999999999999</v>
      </c>
      <c r="U28" s="177">
        <v>37</v>
      </c>
      <c r="V28" s="177">
        <v>36.799999999999997</v>
      </c>
      <c r="W28" s="177">
        <v>34</v>
      </c>
      <c r="X28" s="176">
        <v>39.128</v>
      </c>
      <c r="Y28" s="176">
        <v>39.518999999999998</v>
      </c>
      <c r="Z28" s="177">
        <v>39.9</v>
      </c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</row>
    <row r="29" spans="1:258" ht="48.75" customHeight="1" x14ac:dyDescent="0.25">
      <c r="A29" s="95"/>
      <c r="B29" s="98"/>
      <c r="C29" s="101"/>
      <c r="D29" s="101"/>
      <c r="E29" s="104"/>
      <c r="F29" s="14" t="s">
        <v>35</v>
      </c>
      <c r="G29" s="13">
        <f t="shared" si="0"/>
        <v>100000</v>
      </c>
      <c r="H29" s="13">
        <f>25000-25000</f>
        <v>0</v>
      </c>
      <c r="I29" s="13">
        <f>25000-25000</f>
        <v>0</v>
      </c>
      <c r="J29" s="13">
        <f>25000-25000</f>
        <v>0</v>
      </c>
      <c r="K29" s="15">
        <v>0</v>
      </c>
      <c r="L29" s="15">
        <v>25000</v>
      </c>
      <c r="M29" s="15">
        <v>25000</v>
      </c>
      <c r="N29" s="13">
        <v>25000</v>
      </c>
      <c r="O29" s="13">
        <v>25000</v>
      </c>
      <c r="P29" s="164"/>
      <c r="Q29" s="133"/>
      <c r="R29" s="187"/>
      <c r="S29" s="166"/>
      <c r="T29" s="166"/>
      <c r="U29" s="178"/>
      <c r="V29" s="178"/>
      <c r="W29" s="178"/>
      <c r="X29" s="166"/>
      <c r="Y29" s="166"/>
      <c r="Z29" s="166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</row>
    <row r="30" spans="1:258" ht="32.25" customHeight="1" x14ac:dyDescent="0.25">
      <c r="A30" s="95"/>
      <c r="B30" s="98"/>
      <c r="C30" s="101"/>
      <c r="D30" s="101"/>
      <c r="E30" s="104"/>
      <c r="F30" s="14" t="s">
        <v>36</v>
      </c>
      <c r="G30" s="13">
        <f t="shared" si="0"/>
        <v>0</v>
      </c>
      <c r="H30" s="10">
        <v>0</v>
      </c>
      <c r="I30" s="10">
        <v>0</v>
      </c>
      <c r="J30" s="10">
        <v>0</v>
      </c>
      <c r="K30" s="30">
        <v>0</v>
      </c>
      <c r="L30" s="30">
        <v>0</v>
      </c>
      <c r="M30" s="30">
        <v>0</v>
      </c>
      <c r="N30" s="10">
        <v>0</v>
      </c>
      <c r="O30" s="10">
        <v>0</v>
      </c>
      <c r="P30" s="164"/>
      <c r="Q30" s="133"/>
      <c r="R30" s="187"/>
      <c r="S30" s="166"/>
      <c r="T30" s="166"/>
      <c r="U30" s="178"/>
      <c r="V30" s="178"/>
      <c r="W30" s="178"/>
      <c r="X30" s="166"/>
      <c r="Y30" s="166"/>
      <c r="Z30" s="166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</row>
    <row r="31" spans="1:258" ht="29.25" customHeight="1" x14ac:dyDescent="0.25">
      <c r="A31" s="94" t="s">
        <v>85</v>
      </c>
      <c r="B31" s="97" t="s">
        <v>154</v>
      </c>
      <c r="C31" s="100">
        <v>2020</v>
      </c>
      <c r="D31" s="100">
        <v>2027</v>
      </c>
      <c r="E31" s="103" t="s">
        <v>144</v>
      </c>
      <c r="F31" s="51" t="s">
        <v>34</v>
      </c>
      <c r="G31" s="13">
        <f t="shared" si="0"/>
        <v>60000</v>
      </c>
      <c r="H31" s="10">
        <f>H32+H33</f>
        <v>0</v>
      </c>
      <c r="I31" s="10">
        <f t="shared" ref="I31:O31" si="4">I32+I33</f>
        <v>0</v>
      </c>
      <c r="J31" s="10">
        <f t="shared" si="4"/>
        <v>10000</v>
      </c>
      <c r="K31" s="30">
        <f t="shared" si="4"/>
        <v>10000</v>
      </c>
      <c r="L31" s="30">
        <f t="shared" si="4"/>
        <v>10000</v>
      </c>
      <c r="M31" s="30">
        <f t="shared" si="4"/>
        <v>10000</v>
      </c>
      <c r="N31" s="10">
        <f t="shared" si="4"/>
        <v>10000</v>
      </c>
      <c r="O31" s="10">
        <f t="shared" si="4"/>
        <v>10000</v>
      </c>
      <c r="P31" s="184" t="s">
        <v>145</v>
      </c>
      <c r="Q31" s="185" t="s">
        <v>146</v>
      </c>
      <c r="R31" s="186">
        <f>SUM(S31:Z33)</f>
        <v>301.17700000000002</v>
      </c>
      <c r="S31" s="176">
        <v>37.228999999999999</v>
      </c>
      <c r="T31" s="176">
        <v>37.600999999999999</v>
      </c>
      <c r="U31" s="177">
        <v>37</v>
      </c>
      <c r="V31" s="177">
        <v>36.799999999999997</v>
      </c>
      <c r="W31" s="177">
        <v>34</v>
      </c>
      <c r="X31" s="176">
        <v>39.128</v>
      </c>
      <c r="Y31" s="176">
        <v>39.518999999999998</v>
      </c>
      <c r="Z31" s="177">
        <v>39.9</v>
      </c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</row>
    <row r="32" spans="1:258" ht="54.75" customHeight="1" x14ac:dyDescent="0.25">
      <c r="A32" s="95"/>
      <c r="B32" s="98"/>
      <c r="C32" s="101"/>
      <c r="D32" s="101"/>
      <c r="E32" s="104"/>
      <c r="F32" s="14" t="s">
        <v>35</v>
      </c>
      <c r="G32" s="13">
        <f t="shared" si="0"/>
        <v>60000</v>
      </c>
      <c r="H32" s="13">
        <f>10000-10000</f>
        <v>0</v>
      </c>
      <c r="I32" s="13">
        <f>10000-10000</f>
        <v>0</v>
      </c>
      <c r="J32" s="13">
        <v>10000</v>
      </c>
      <c r="K32" s="15">
        <v>10000</v>
      </c>
      <c r="L32" s="15">
        <v>10000</v>
      </c>
      <c r="M32" s="15">
        <v>10000</v>
      </c>
      <c r="N32" s="13">
        <v>10000</v>
      </c>
      <c r="O32" s="13">
        <v>10000</v>
      </c>
      <c r="P32" s="164"/>
      <c r="Q32" s="133"/>
      <c r="R32" s="187"/>
      <c r="S32" s="166"/>
      <c r="T32" s="166"/>
      <c r="U32" s="178"/>
      <c r="V32" s="178"/>
      <c r="W32" s="178"/>
      <c r="X32" s="166"/>
      <c r="Y32" s="166"/>
      <c r="Z32" s="166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</row>
    <row r="33" spans="1:258" ht="35.25" customHeight="1" x14ac:dyDescent="0.25">
      <c r="A33" s="95"/>
      <c r="B33" s="98"/>
      <c r="C33" s="101"/>
      <c r="D33" s="101"/>
      <c r="E33" s="104"/>
      <c r="F33" s="14" t="s">
        <v>36</v>
      </c>
      <c r="G33" s="13">
        <f t="shared" si="0"/>
        <v>0</v>
      </c>
      <c r="H33" s="10">
        <v>0</v>
      </c>
      <c r="I33" s="10">
        <v>0</v>
      </c>
      <c r="J33" s="10">
        <v>0</v>
      </c>
      <c r="K33" s="30">
        <v>0</v>
      </c>
      <c r="L33" s="30">
        <v>0</v>
      </c>
      <c r="M33" s="30">
        <v>0</v>
      </c>
      <c r="N33" s="10">
        <v>0</v>
      </c>
      <c r="O33" s="10">
        <v>0</v>
      </c>
      <c r="P33" s="164"/>
      <c r="Q33" s="133"/>
      <c r="R33" s="187"/>
      <c r="S33" s="166"/>
      <c r="T33" s="166"/>
      <c r="U33" s="178"/>
      <c r="V33" s="178"/>
      <c r="W33" s="178"/>
      <c r="X33" s="166"/>
      <c r="Y33" s="166"/>
      <c r="Z33" s="166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</row>
    <row r="34" spans="1:258" ht="36.75" customHeight="1" x14ac:dyDescent="0.25">
      <c r="A34" s="94" t="s">
        <v>155</v>
      </c>
      <c r="B34" s="97" t="s">
        <v>156</v>
      </c>
      <c r="C34" s="100">
        <v>2020</v>
      </c>
      <c r="D34" s="100">
        <v>2027</v>
      </c>
      <c r="E34" s="103" t="s">
        <v>144</v>
      </c>
      <c r="F34" s="51" t="s">
        <v>34</v>
      </c>
      <c r="G34" s="13">
        <f t="shared" si="0"/>
        <v>1260000</v>
      </c>
      <c r="H34" s="10">
        <f>H35+H36</f>
        <v>0</v>
      </c>
      <c r="I34" s="10">
        <f t="shared" ref="I34:O34" si="5">I35+I36</f>
        <v>0</v>
      </c>
      <c r="J34" s="10">
        <f t="shared" si="5"/>
        <v>210000</v>
      </c>
      <c r="K34" s="30">
        <f t="shared" si="5"/>
        <v>210000</v>
      </c>
      <c r="L34" s="30">
        <f t="shared" si="5"/>
        <v>210000</v>
      </c>
      <c r="M34" s="30">
        <f t="shared" si="5"/>
        <v>210000</v>
      </c>
      <c r="N34" s="10">
        <f t="shared" si="5"/>
        <v>210000</v>
      </c>
      <c r="O34" s="10">
        <f t="shared" si="5"/>
        <v>210000</v>
      </c>
      <c r="P34" s="184" t="s">
        <v>145</v>
      </c>
      <c r="Q34" s="185" t="s">
        <v>146</v>
      </c>
      <c r="R34" s="186">
        <f>SUM(S34:Z36)</f>
        <v>301.17700000000002</v>
      </c>
      <c r="S34" s="176">
        <v>37.228999999999999</v>
      </c>
      <c r="T34" s="176">
        <v>37.600999999999999</v>
      </c>
      <c r="U34" s="177">
        <v>37</v>
      </c>
      <c r="V34" s="177">
        <v>36.799999999999997</v>
      </c>
      <c r="W34" s="177">
        <v>34</v>
      </c>
      <c r="X34" s="176">
        <v>39.128</v>
      </c>
      <c r="Y34" s="176">
        <v>39.518999999999998</v>
      </c>
      <c r="Z34" s="177">
        <v>39.9</v>
      </c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</row>
    <row r="35" spans="1:258" ht="53.25" customHeight="1" x14ac:dyDescent="0.25">
      <c r="A35" s="95"/>
      <c r="B35" s="98"/>
      <c r="C35" s="101"/>
      <c r="D35" s="101"/>
      <c r="E35" s="104"/>
      <c r="F35" s="14" t="s">
        <v>35</v>
      </c>
      <c r="G35" s="13">
        <f t="shared" si="0"/>
        <v>1260000</v>
      </c>
      <c r="H35" s="13">
        <f>210000-210000</f>
        <v>0</v>
      </c>
      <c r="I35" s="13">
        <f>210000-210000</f>
        <v>0</v>
      </c>
      <c r="J35" s="13">
        <v>210000</v>
      </c>
      <c r="K35" s="15">
        <v>210000</v>
      </c>
      <c r="L35" s="15">
        <v>210000</v>
      </c>
      <c r="M35" s="15">
        <v>210000</v>
      </c>
      <c r="N35" s="13">
        <v>210000</v>
      </c>
      <c r="O35" s="13">
        <v>210000</v>
      </c>
      <c r="P35" s="164"/>
      <c r="Q35" s="133"/>
      <c r="R35" s="187"/>
      <c r="S35" s="166"/>
      <c r="T35" s="166"/>
      <c r="U35" s="178"/>
      <c r="V35" s="178"/>
      <c r="W35" s="178"/>
      <c r="X35" s="166"/>
      <c r="Y35" s="166"/>
      <c r="Z35" s="166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</row>
    <row r="36" spans="1:258" ht="33.75" customHeight="1" x14ac:dyDescent="0.25">
      <c r="A36" s="95"/>
      <c r="B36" s="98"/>
      <c r="C36" s="101"/>
      <c r="D36" s="101"/>
      <c r="E36" s="104"/>
      <c r="F36" s="14" t="s">
        <v>36</v>
      </c>
      <c r="G36" s="13">
        <f t="shared" si="0"/>
        <v>0</v>
      </c>
      <c r="H36" s="10">
        <v>0</v>
      </c>
      <c r="I36" s="10">
        <v>0</v>
      </c>
      <c r="J36" s="10">
        <v>0</v>
      </c>
      <c r="K36" s="30">
        <v>0</v>
      </c>
      <c r="L36" s="30">
        <v>0</v>
      </c>
      <c r="M36" s="30">
        <v>0</v>
      </c>
      <c r="N36" s="10">
        <v>0</v>
      </c>
      <c r="O36" s="10">
        <v>0</v>
      </c>
      <c r="P36" s="164"/>
      <c r="Q36" s="133"/>
      <c r="R36" s="187"/>
      <c r="S36" s="166"/>
      <c r="T36" s="166"/>
      <c r="U36" s="178"/>
      <c r="V36" s="178"/>
      <c r="W36" s="178"/>
      <c r="X36" s="166"/>
      <c r="Y36" s="166"/>
      <c r="Z36" s="166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</row>
    <row r="37" spans="1:258" ht="36.75" customHeight="1" x14ac:dyDescent="0.25">
      <c r="A37" s="94" t="s">
        <v>157</v>
      </c>
      <c r="B37" s="97" t="s">
        <v>158</v>
      </c>
      <c r="C37" s="100">
        <v>2020</v>
      </c>
      <c r="D37" s="100">
        <v>2027</v>
      </c>
      <c r="E37" s="103" t="s">
        <v>144</v>
      </c>
      <c r="F37" s="51" t="s">
        <v>34</v>
      </c>
      <c r="G37" s="13">
        <f t="shared" si="0"/>
        <v>60000</v>
      </c>
      <c r="H37" s="10">
        <f>H38+H39</f>
        <v>0</v>
      </c>
      <c r="I37" s="10">
        <f t="shared" ref="I37:O37" si="6">I38+I39</f>
        <v>0</v>
      </c>
      <c r="J37" s="10">
        <f t="shared" si="6"/>
        <v>10000</v>
      </c>
      <c r="K37" s="30">
        <f t="shared" si="6"/>
        <v>10000</v>
      </c>
      <c r="L37" s="30">
        <f t="shared" si="6"/>
        <v>10000</v>
      </c>
      <c r="M37" s="30">
        <f t="shared" si="6"/>
        <v>10000</v>
      </c>
      <c r="N37" s="10">
        <f t="shared" si="6"/>
        <v>10000</v>
      </c>
      <c r="O37" s="10">
        <f t="shared" si="6"/>
        <v>10000</v>
      </c>
      <c r="P37" s="184" t="s">
        <v>145</v>
      </c>
      <c r="Q37" s="185" t="s">
        <v>146</v>
      </c>
      <c r="R37" s="186">
        <f>SUM(S37:Z39)</f>
        <v>301.17700000000002</v>
      </c>
      <c r="S37" s="176">
        <v>37.228999999999999</v>
      </c>
      <c r="T37" s="176">
        <v>37.600999999999999</v>
      </c>
      <c r="U37" s="177">
        <v>37</v>
      </c>
      <c r="V37" s="177">
        <v>36.799999999999997</v>
      </c>
      <c r="W37" s="177">
        <v>34</v>
      </c>
      <c r="X37" s="176">
        <v>39.128</v>
      </c>
      <c r="Y37" s="176">
        <v>39.518999999999998</v>
      </c>
      <c r="Z37" s="177">
        <v>39.9</v>
      </c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</row>
    <row r="38" spans="1:258" ht="50.25" customHeight="1" x14ac:dyDescent="0.25">
      <c r="A38" s="95"/>
      <c r="B38" s="98"/>
      <c r="C38" s="101"/>
      <c r="D38" s="101"/>
      <c r="E38" s="104"/>
      <c r="F38" s="14" t="s">
        <v>35</v>
      </c>
      <c r="G38" s="13">
        <f t="shared" si="0"/>
        <v>60000</v>
      </c>
      <c r="H38" s="13">
        <f>10000-10000</f>
        <v>0</v>
      </c>
      <c r="I38" s="13">
        <f>10000-10000</f>
        <v>0</v>
      </c>
      <c r="J38" s="13">
        <v>10000</v>
      </c>
      <c r="K38" s="15">
        <v>10000</v>
      </c>
      <c r="L38" s="15">
        <v>10000</v>
      </c>
      <c r="M38" s="15">
        <v>10000</v>
      </c>
      <c r="N38" s="13">
        <v>10000</v>
      </c>
      <c r="O38" s="13">
        <v>10000</v>
      </c>
      <c r="P38" s="164"/>
      <c r="Q38" s="133"/>
      <c r="R38" s="187"/>
      <c r="S38" s="166"/>
      <c r="T38" s="166"/>
      <c r="U38" s="178"/>
      <c r="V38" s="178"/>
      <c r="W38" s="178"/>
      <c r="X38" s="166"/>
      <c r="Y38" s="166"/>
      <c r="Z38" s="166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</row>
    <row r="39" spans="1:258" ht="38.25" customHeight="1" x14ac:dyDescent="0.25">
      <c r="A39" s="95"/>
      <c r="B39" s="98"/>
      <c r="C39" s="101"/>
      <c r="D39" s="101"/>
      <c r="E39" s="104"/>
      <c r="F39" s="14" t="s">
        <v>36</v>
      </c>
      <c r="G39" s="13">
        <f t="shared" si="0"/>
        <v>0</v>
      </c>
      <c r="H39" s="10">
        <v>0</v>
      </c>
      <c r="I39" s="10">
        <v>0</v>
      </c>
      <c r="J39" s="10">
        <v>0</v>
      </c>
      <c r="K39" s="30">
        <v>0</v>
      </c>
      <c r="L39" s="30">
        <v>0</v>
      </c>
      <c r="M39" s="30">
        <v>0</v>
      </c>
      <c r="N39" s="10">
        <v>0</v>
      </c>
      <c r="O39" s="10">
        <v>0</v>
      </c>
      <c r="P39" s="164"/>
      <c r="Q39" s="133"/>
      <c r="R39" s="187"/>
      <c r="S39" s="166"/>
      <c r="T39" s="166"/>
      <c r="U39" s="178"/>
      <c r="V39" s="178"/>
      <c r="W39" s="178"/>
      <c r="X39" s="166"/>
      <c r="Y39" s="166"/>
      <c r="Z39" s="166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</row>
    <row r="40" spans="1:258" ht="35.25" customHeight="1" x14ac:dyDescent="0.25">
      <c r="A40" s="94" t="s">
        <v>159</v>
      </c>
      <c r="B40" s="97" t="s">
        <v>160</v>
      </c>
      <c r="C40" s="100">
        <v>2020</v>
      </c>
      <c r="D40" s="100">
        <v>2027</v>
      </c>
      <c r="E40" s="103" t="s">
        <v>144</v>
      </c>
      <c r="F40" s="51" t="s">
        <v>34</v>
      </c>
      <c r="G40" s="13">
        <f t="shared" si="0"/>
        <v>60000</v>
      </c>
      <c r="H40" s="10">
        <f>H41+H42</f>
        <v>0</v>
      </c>
      <c r="I40" s="10">
        <f t="shared" ref="I40:O40" si="7">I41+I42</f>
        <v>0</v>
      </c>
      <c r="J40" s="10">
        <f t="shared" si="7"/>
        <v>0</v>
      </c>
      <c r="K40" s="30">
        <f t="shared" si="7"/>
        <v>0</v>
      </c>
      <c r="L40" s="30">
        <f t="shared" si="7"/>
        <v>15000</v>
      </c>
      <c r="M40" s="30">
        <f t="shared" si="7"/>
        <v>15000</v>
      </c>
      <c r="N40" s="10">
        <f t="shared" si="7"/>
        <v>15000</v>
      </c>
      <c r="O40" s="10">
        <f t="shared" si="7"/>
        <v>15000</v>
      </c>
      <c r="P40" s="184" t="s">
        <v>145</v>
      </c>
      <c r="Q40" s="185" t="s">
        <v>146</v>
      </c>
      <c r="R40" s="186">
        <f>SUM(S40:Z42)</f>
        <v>301.17700000000002</v>
      </c>
      <c r="S40" s="176">
        <v>37.228999999999999</v>
      </c>
      <c r="T40" s="176">
        <v>37.600999999999999</v>
      </c>
      <c r="U40" s="177">
        <v>37</v>
      </c>
      <c r="V40" s="177">
        <v>36.799999999999997</v>
      </c>
      <c r="W40" s="177">
        <v>34</v>
      </c>
      <c r="X40" s="176">
        <v>39.128</v>
      </c>
      <c r="Y40" s="176">
        <v>39.518999999999998</v>
      </c>
      <c r="Z40" s="177">
        <v>39.9</v>
      </c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</row>
    <row r="41" spans="1:258" ht="50.25" customHeight="1" x14ac:dyDescent="0.25">
      <c r="A41" s="95"/>
      <c r="B41" s="98"/>
      <c r="C41" s="101"/>
      <c r="D41" s="101"/>
      <c r="E41" s="104"/>
      <c r="F41" s="14" t="s">
        <v>35</v>
      </c>
      <c r="G41" s="13">
        <f t="shared" si="0"/>
        <v>60000</v>
      </c>
      <c r="H41" s="13">
        <f>15000-15000</f>
        <v>0</v>
      </c>
      <c r="I41" s="13">
        <f>15000-15000</f>
        <v>0</v>
      </c>
      <c r="J41" s="13">
        <f>15000-15000</f>
        <v>0</v>
      </c>
      <c r="K41" s="15">
        <v>0</v>
      </c>
      <c r="L41" s="15">
        <v>15000</v>
      </c>
      <c r="M41" s="15">
        <v>15000</v>
      </c>
      <c r="N41" s="13">
        <v>15000</v>
      </c>
      <c r="O41" s="13">
        <v>15000</v>
      </c>
      <c r="P41" s="164"/>
      <c r="Q41" s="133"/>
      <c r="R41" s="187"/>
      <c r="S41" s="166"/>
      <c r="T41" s="166"/>
      <c r="U41" s="178"/>
      <c r="V41" s="178"/>
      <c r="W41" s="178"/>
      <c r="X41" s="166"/>
      <c r="Y41" s="166"/>
      <c r="Z41" s="166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</row>
    <row r="42" spans="1:258" ht="36.75" customHeight="1" x14ac:dyDescent="0.25">
      <c r="A42" s="95"/>
      <c r="B42" s="98"/>
      <c r="C42" s="101"/>
      <c r="D42" s="101"/>
      <c r="E42" s="104"/>
      <c r="F42" s="52" t="s">
        <v>36</v>
      </c>
      <c r="G42" s="13">
        <f t="shared" si="0"/>
        <v>0</v>
      </c>
      <c r="H42" s="10">
        <v>0</v>
      </c>
      <c r="I42" s="10">
        <v>0</v>
      </c>
      <c r="J42" s="10">
        <v>0</v>
      </c>
      <c r="K42" s="30">
        <v>0</v>
      </c>
      <c r="L42" s="30">
        <v>0</v>
      </c>
      <c r="M42" s="30">
        <v>0</v>
      </c>
      <c r="N42" s="10">
        <v>0</v>
      </c>
      <c r="O42" s="10">
        <v>0</v>
      </c>
      <c r="P42" s="164"/>
      <c r="Q42" s="133"/>
      <c r="R42" s="187"/>
      <c r="S42" s="166"/>
      <c r="T42" s="166"/>
      <c r="U42" s="178"/>
      <c r="V42" s="178"/>
      <c r="W42" s="178"/>
      <c r="X42" s="166"/>
      <c r="Y42" s="166"/>
      <c r="Z42" s="166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</row>
    <row r="43" spans="1:258" ht="35.25" customHeight="1" x14ac:dyDescent="0.3">
      <c r="A43" s="188" t="s">
        <v>161</v>
      </c>
      <c r="B43" s="138" t="s">
        <v>162</v>
      </c>
      <c r="C43" s="191">
        <v>2020</v>
      </c>
      <c r="D43" s="191">
        <v>2027</v>
      </c>
      <c r="E43" s="103" t="s">
        <v>144</v>
      </c>
      <c r="F43" s="51" t="s">
        <v>34</v>
      </c>
      <c r="G43" s="13">
        <f t="shared" si="0"/>
        <v>40000</v>
      </c>
      <c r="H43" s="53">
        <f>H44+H45</f>
        <v>5000</v>
      </c>
      <c r="I43" s="53">
        <f t="shared" ref="I43:O43" si="8">I44+I45</f>
        <v>5000</v>
      </c>
      <c r="J43" s="53">
        <f t="shared" si="8"/>
        <v>5000</v>
      </c>
      <c r="K43" s="54">
        <f t="shared" si="8"/>
        <v>5000</v>
      </c>
      <c r="L43" s="54">
        <f t="shared" si="8"/>
        <v>5000</v>
      </c>
      <c r="M43" s="54">
        <f t="shared" si="8"/>
        <v>5000</v>
      </c>
      <c r="N43" s="53">
        <f t="shared" si="8"/>
        <v>5000</v>
      </c>
      <c r="O43" s="53">
        <f t="shared" si="8"/>
        <v>5000</v>
      </c>
      <c r="P43" s="184" t="s">
        <v>145</v>
      </c>
      <c r="Q43" s="185" t="s">
        <v>146</v>
      </c>
      <c r="R43" s="186">
        <f>SUM(S43:Z45)</f>
        <v>301.17700000000002</v>
      </c>
      <c r="S43" s="176">
        <v>37.228999999999999</v>
      </c>
      <c r="T43" s="176">
        <v>37.600999999999999</v>
      </c>
      <c r="U43" s="177">
        <v>37</v>
      </c>
      <c r="V43" s="177">
        <v>36.799999999999997</v>
      </c>
      <c r="W43" s="177">
        <v>34</v>
      </c>
      <c r="X43" s="176">
        <v>39.128</v>
      </c>
      <c r="Y43" s="176">
        <v>39.518999999999998</v>
      </c>
      <c r="Z43" s="177">
        <v>39.9</v>
      </c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</row>
    <row r="44" spans="1:258" ht="50.25" customHeight="1" x14ac:dyDescent="0.25">
      <c r="A44" s="189"/>
      <c r="B44" s="139"/>
      <c r="C44" s="192"/>
      <c r="D44" s="192"/>
      <c r="E44" s="104"/>
      <c r="F44" s="14" t="s">
        <v>35</v>
      </c>
      <c r="G44" s="13">
        <f t="shared" si="0"/>
        <v>40000</v>
      </c>
      <c r="H44" s="13">
        <v>5000</v>
      </c>
      <c r="I44" s="13">
        <v>5000</v>
      </c>
      <c r="J44" s="13">
        <v>5000</v>
      </c>
      <c r="K44" s="15">
        <v>5000</v>
      </c>
      <c r="L44" s="15">
        <v>5000</v>
      </c>
      <c r="M44" s="15">
        <v>5000</v>
      </c>
      <c r="N44" s="13">
        <v>5000</v>
      </c>
      <c r="O44" s="13">
        <v>5000</v>
      </c>
      <c r="P44" s="164"/>
      <c r="Q44" s="133"/>
      <c r="R44" s="187"/>
      <c r="S44" s="166"/>
      <c r="T44" s="166"/>
      <c r="U44" s="178"/>
      <c r="V44" s="178"/>
      <c r="W44" s="178"/>
      <c r="X44" s="166"/>
      <c r="Y44" s="166"/>
      <c r="Z44" s="166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</row>
    <row r="45" spans="1:258" ht="35.25" customHeight="1" x14ac:dyDescent="0.25">
      <c r="A45" s="190"/>
      <c r="B45" s="140"/>
      <c r="C45" s="193"/>
      <c r="D45" s="193"/>
      <c r="E45" s="104"/>
      <c r="F45" s="52" t="s">
        <v>36</v>
      </c>
      <c r="G45" s="13">
        <f t="shared" si="0"/>
        <v>0</v>
      </c>
      <c r="H45" s="10">
        <v>0</v>
      </c>
      <c r="I45" s="10">
        <v>0</v>
      </c>
      <c r="J45" s="10">
        <v>0</v>
      </c>
      <c r="K45" s="30">
        <v>0</v>
      </c>
      <c r="L45" s="30">
        <v>0</v>
      </c>
      <c r="M45" s="30">
        <v>0</v>
      </c>
      <c r="N45" s="10">
        <v>0</v>
      </c>
      <c r="O45" s="10">
        <v>0</v>
      </c>
      <c r="P45" s="164"/>
      <c r="Q45" s="133"/>
      <c r="R45" s="187"/>
      <c r="S45" s="166"/>
      <c r="T45" s="166"/>
      <c r="U45" s="178"/>
      <c r="V45" s="178"/>
      <c r="W45" s="178"/>
      <c r="X45" s="166"/>
      <c r="Y45" s="166"/>
      <c r="Z45" s="166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</row>
    <row r="46" spans="1:258" ht="30.75" customHeight="1" x14ac:dyDescent="0.25">
      <c r="A46" s="188" t="s">
        <v>163</v>
      </c>
      <c r="B46" s="181" t="s">
        <v>164</v>
      </c>
      <c r="C46" s="191">
        <v>2017</v>
      </c>
      <c r="D46" s="191">
        <v>2027</v>
      </c>
      <c r="E46" s="103" t="s">
        <v>165</v>
      </c>
      <c r="F46" s="51" t="s">
        <v>34</v>
      </c>
      <c r="G46" s="13">
        <f t="shared" si="0"/>
        <v>9838138.75</v>
      </c>
      <c r="H46" s="13">
        <f>H47+H48</f>
        <v>647772.68000000005</v>
      </c>
      <c r="I46" s="13">
        <f t="shared" ref="I46:O46" si="9">I47+I48</f>
        <v>815339.11</v>
      </c>
      <c r="J46" s="13">
        <f t="shared" si="9"/>
        <v>603001.55000000005</v>
      </c>
      <c r="K46" s="15">
        <f t="shared" si="9"/>
        <v>779251.26</v>
      </c>
      <c r="L46" s="15">
        <f t="shared" si="9"/>
        <v>2303873.2799999998</v>
      </c>
      <c r="M46" s="15">
        <f t="shared" si="9"/>
        <v>2303873.2799999998</v>
      </c>
      <c r="N46" s="13">
        <f t="shared" si="9"/>
        <v>2385027.59</v>
      </c>
      <c r="O46" s="13">
        <f t="shared" si="9"/>
        <v>0</v>
      </c>
      <c r="P46" s="184" t="s">
        <v>145</v>
      </c>
      <c r="Q46" s="185" t="s">
        <v>146</v>
      </c>
      <c r="R46" s="186">
        <f>SUM(S46:Z48)</f>
        <v>301.17700000000002</v>
      </c>
      <c r="S46" s="176">
        <v>37.228999999999999</v>
      </c>
      <c r="T46" s="176">
        <v>37.600999999999999</v>
      </c>
      <c r="U46" s="177">
        <v>37</v>
      </c>
      <c r="V46" s="177">
        <v>36.799999999999997</v>
      </c>
      <c r="W46" s="177">
        <v>34</v>
      </c>
      <c r="X46" s="176">
        <v>39.128</v>
      </c>
      <c r="Y46" s="176">
        <v>39.518999999999998</v>
      </c>
      <c r="Z46" s="177">
        <v>39.9</v>
      </c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</row>
    <row r="47" spans="1:258" ht="48.75" customHeight="1" x14ac:dyDescent="0.25">
      <c r="A47" s="194"/>
      <c r="B47" s="182"/>
      <c r="C47" s="192"/>
      <c r="D47" s="192"/>
      <c r="E47" s="104"/>
      <c r="F47" s="14" t="s">
        <v>35</v>
      </c>
      <c r="G47" s="13">
        <f t="shared" si="0"/>
        <v>0</v>
      </c>
      <c r="H47" s="13">
        <v>0</v>
      </c>
      <c r="I47" s="13">
        <v>0</v>
      </c>
      <c r="J47" s="13">
        <v>0</v>
      </c>
      <c r="K47" s="15">
        <v>0</v>
      </c>
      <c r="L47" s="15">
        <v>0</v>
      </c>
      <c r="M47" s="15">
        <v>0</v>
      </c>
      <c r="N47" s="13">
        <v>0</v>
      </c>
      <c r="O47" s="13">
        <v>0</v>
      </c>
      <c r="P47" s="164"/>
      <c r="Q47" s="133"/>
      <c r="R47" s="187"/>
      <c r="S47" s="166"/>
      <c r="T47" s="166"/>
      <c r="U47" s="178"/>
      <c r="V47" s="178"/>
      <c r="W47" s="178"/>
      <c r="X47" s="166"/>
      <c r="Y47" s="166"/>
      <c r="Z47" s="166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</row>
    <row r="48" spans="1:258" ht="35.25" customHeight="1" x14ac:dyDescent="0.25">
      <c r="A48" s="190"/>
      <c r="B48" s="183"/>
      <c r="C48" s="193"/>
      <c r="D48" s="193"/>
      <c r="E48" s="105"/>
      <c r="F48" s="52" t="s">
        <v>36</v>
      </c>
      <c r="G48" s="13">
        <f t="shared" si="0"/>
        <v>9838138.75</v>
      </c>
      <c r="H48" s="13">
        <f>1799968.32-529114.64-623081</f>
        <v>647772.68000000005</v>
      </c>
      <c r="I48" s="13">
        <f>815339.11</f>
        <v>815339.11</v>
      </c>
      <c r="J48" s="13">
        <f>603899.95-898.4</f>
        <v>603001.55000000005</v>
      </c>
      <c r="K48" s="15">
        <f>781915.89-2664.63</f>
        <v>779251.26</v>
      </c>
      <c r="L48" s="15">
        <v>2303873.2799999998</v>
      </c>
      <c r="M48" s="15">
        <v>2303873.2799999998</v>
      </c>
      <c r="N48" s="13">
        <v>2385027.59</v>
      </c>
      <c r="O48" s="13">
        <v>0</v>
      </c>
      <c r="P48" s="164"/>
      <c r="Q48" s="133"/>
      <c r="R48" s="187"/>
      <c r="S48" s="166"/>
      <c r="T48" s="166"/>
      <c r="U48" s="178"/>
      <c r="V48" s="178"/>
      <c r="W48" s="178"/>
      <c r="X48" s="166"/>
      <c r="Y48" s="166"/>
      <c r="Z48" s="166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</row>
    <row r="49" spans="1:258" ht="146.25" customHeight="1" x14ac:dyDescent="0.25">
      <c r="A49" s="196" t="s">
        <v>132</v>
      </c>
      <c r="B49" s="197"/>
      <c r="C49" s="43">
        <v>2020</v>
      </c>
      <c r="D49" s="43">
        <v>2027</v>
      </c>
      <c r="E49" s="42" t="s">
        <v>37</v>
      </c>
      <c r="F49" s="46" t="s">
        <v>37</v>
      </c>
      <c r="G49" s="45" t="s">
        <v>37</v>
      </c>
      <c r="H49" s="45" t="s">
        <v>37</v>
      </c>
      <c r="I49" s="45" t="s">
        <v>37</v>
      </c>
      <c r="J49" s="45" t="s">
        <v>37</v>
      </c>
      <c r="K49" s="45" t="s">
        <v>37</v>
      </c>
      <c r="L49" s="45" t="s">
        <v>37</v>
      </c>
      <c r="M49" s="45" t="s">
        <v>37</v>
      </c>
      <c r="N49" s="45" t="s">
        <v>37</v>
      </c>
      <c r="O49" s="45" t="s">
        <v>37</v>
      </c>
      <c r="P49" s="46" t="s">
        <v>37</v>
      </c>
      <c r="Q49" s="44" t="s">
        <v>37</v>
      </c>
      <c r="R49" s="44" t="s">
        <v>37</v>
      </c>
      <c r="S49" s="44" t="s">
        <v>37</v>
      </c>
      <c r="T49" s="44" t="s">
        <v>37</v>
      </c>
      <c r="U49" s="44" t="s">
        <v>37</v>
      </c>
      <c r="V49" s="44" t="s">
        <v>37</v>
      </c>
      <c r="W49" s="44" t="s">
        <v>37</v>
      </c>
      <c r="X49" s="44" t="s">
        <v>37</v>
      </c>
      <c r="Y49" s="44" t="s">
        <v>37</v>
      </c>
      <c r="Z49" s="44" t="s">
        <v>37</v>
      </c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</row>
    <row r="50" spans="1:258" ht="168.75" customHeight="1" x14ac:dyDescent="0.25">
      <c r="A50" s="84" t="s">
        <v>133</v>
      </c>
      <c r="B50" s="198"/>
      <c r="C50" s="43">
        <v>2020</v>
      </c>
      <c r="D50" s="43">
        <v>2027</v>
      </c>
      <c r="E50" s="42" t="s">
        <v>37</v>
      </c>
      <c r="F50" s="46" t="s">
        <v>37</v>
      </c>
      <c r="G50" s="45" t="s">
        <v>37</v>
      </c>
      <c r="H50" s="45" t="s">
        <v>37</v>
      </c>
      <c r="I50" s="45" t="s">
        <v>37</v>
      </c>
      <c r="J50" s="45" t="s">
        <v>37</v>
      </c>
      <c r="K50" s="45" t="s">
        <v>37</v>
      </c>
      <c r="L50" s="45" t="s">
        <v>37</v>
      </c>
      <c r="M50" s="45" t="s">
        <v>37</v>
      </c>
      <c r="N50" s="45" t="s">
        <v>37</v>
      </c>
      <c r="O50" s="45" t="s">
        <v>37</v>
      </c>
      <c r="P50" s="46" t="s">
        <v>37</v>
      </c>
      <c r="Q50" s="44" t="s">
        <v>37</v>
      </c>
      <c r="R50" s="44" t="s">
        <v>37</v>
      </c>
      <c r="S50" s="44" t="s">
        <v>37</v>
      </c>
      <c r="T50" s="44" t="s">
        <v>37</v>
      </c>
      <c r="U50" s="44" t="s">
        <v>37</v>
      </c>
      <c r="V50" s="44" t="s">
        <v>37</v>
      </c>
      <c r="W50" s="44" t="s">
        <v>37</v>
      </c>
      <c r="X50" s="44" t="s">
        <v>37</v>
      </c>
      <c r="Y50" s="44" t="s">
        <v>37</v>
      </c>
      <c r="Z50" s="44" t="s">
        <v>37</v>
      </c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</row>
    <row r="51" spans="1:258" ht="23.65" customHeight="1" x14ac:dyDescent="0.25">
      <c r="A51" s="174" t="s">
        <v>134</v>
      </c>
      <c r="B51" s="123" t="s">
        <v>135</v>
      </c>
      <c r="C51" s="125">
        <v>2020</v>
      </c>
      <c r="D51" s="125">
        <v>2027</v>
      </c>
      <c r="E51" s="83" t="s">
        <v>136</v>
      </c>
      <c r="F51" s="55" t="s">
        <v>34</v>
      </c>
      <c r="G51" s="13">
        <f t="shared" ref="G51:G53" si="10">SUM(H51:O51)</f>
        <v>1574685.52</v>
      </c>
      <c r="H51" s="13">
        <f t="shared" ref="H51:O51" si="11">SUM(H52:H53)</f>
        <v>434968.68</v>
      </c>
      <c r="I51" s="13">
        <f t="shared" si="11"/>
        <v>0</v>
      </c>
      <c r="J51" s="13">
        <f t="shared" si="11"/>
        <v>339716.84</v>
      </c>
      <c r="K51" s="13">
        <f t="shared" si="11"/>
        <v>0</v>
      </c>
      <c r="L51" s="13">
        <f t="shared" si="11"/>
        <v>200000</v>
      </c>
      <c r="M51" s="13">
        <f t="shared" si="11"/>
        <v>200000</v>
      </c>
      <c r="N51" s="13">
        <f t="shared" si="11"/>
        <v>200000</v>
      </c>
      <c r="O51" s="13">
        <f t="shared" si="11"/>
        <v>200000</v>
      </c>
      <c r="P51" s="108" t="s">
        <v>137</v>
      </c>
      <c r="Q51" s="100" t="s">
        <v>177</v>
      </c>
      <c r="R51" s="126">
        <f>SUM(S51:Z53)</f>
        <v>850000</v>
      </c>
      <c r="S51" s="126">
        <v>170000</v>
      </c>
      <c r="T51" s="126">
        <v>0</v>
      </c>
      <c r="U51" s="126">
        <v>170000</v>
      </c>
      <c r="V51" s="126">
        <v>0</v>
      </c>
      <c r="W51" s="126">
        <v>0</v>
      </c>
      <c r="X51" s="126">
        <v>170000</v>
      </c>
      <c r="Y51" s="126">
        <v>170000</v>
      </c>
      <c r="Z51" s="126">
        <v>170000</v>
      </c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</row>
    <row r="52" spans="1:258" ht="51.75" customHeight="1" x14ac:dyDescent="0.25">
      <c r="A52" s="174"/>
      <c r="B52" s="175"/>
      <c r="C52" s="125"/>
      <c r="D52" s="125"/>
      <c r="E52" s="83"/>
      <c r="F52" s="49" t="s">
        <v>35</v>
      </c>
      <c r="G52" s="13">
        <f t="shared" si="10"/>
        <v>1200000</v>
      </c>
      <c r="H52" s="13">
        <v>200000</v>
      </c>
      <c r="I52" s="13">
        <f>200000-200000</f>
        <v>0</v>
      </c>
      <c r="J52" s="13">
        <v>200000</v>
      </c>
      <c r="K52" s="13">
        <f>200000-200000</f>
        <v>0</v>
      </c>
      <c r="L52" s="13">
        <v>200000</v>
      </c>
      <c r="M52" s="13">
        <v>200000</v>
      </c>
      <c r="N52" s="13">
        <v>200000</v>
      </c>
      <c r="O52" s="13">
        <v>200000</v>
      </c>
      <c r="P52" s="109"/>
      <c r="Q52" s="101"/>
      <c r="R52" s="127"/>
      <c r="S52" s="127"/>
      <c r="T52" s="127"/>
      <c r="U52" s="127"/>
      <c r="V52" s="127"/>
      <c r="W52" s="127"/>
      <c r="X52" s="127"/>
      <c r="Y52" s="127"/>
      <c r="Z52" s="127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</row>
    <row r="53" spans="1:258" ht="57.75" customHeight="1" x14ac:dyDescent="0.25">
      <c r="A53" s="174"/>
      <c r="B53" s="175"/>
      <c r="C53" s="125"/>
      <c r="D53" s="125"/>
      <c r="E53" s="83"/>
      <c r="F53" s="49" t="s">
        <v>36</v>
      </c>
      <c r="G53" s="13">
        <f t="shared" si="10"/>
        <v>374685.52</v>
      </c>
      <c r="H53" s="13">
        <v>234968.68</v>
      </c>
      <c r="I53" s="13">
        <v>0</v>
      </c>
      <c r="J53" s="13">
        <v>139716.84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10"/>
      <c r="Q53" s="102"/>
      <c r="R53" s="128"/>
      <c r="S53" s="128"/>
      <c r="T53" s="128"/>
      <c r="U53" s="128"/>
      <c r="V53" s="128"/>
      <c r="W53" s="128"/>
      <c r="X53" s="128"/>
      <c r="Y53" s="128"/>
      <c r="Z53" s="128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</row>
    <row r="54" spans="1:258" ht="23.65" customHeight="1" x14ac:dyDescent="0.25">
      <c r="A54" s="171" t="s">
        <v>138</v>
      </c>
      <c r="B54" s="138" t="s">
        <v>139</v>
      </c>
      <c r="C54" s="125">
        <v>2020</v>
      </c>
      <c r="D54" s="125">
        <v>2027</v>
      </c>
      <c r="E54" s="83" t="s">
        <v>136</v>
      </c>
      <c r="F54" s="55" t="s">
        <v>34</v>
      </c>
      <c r="G54" s="13">
        <f>SUM(H54:O54)</f>
        <v>500</v>
      </c>
      <c r="H54" s="13">
        <f t="shared" ref="H54:N54" si="12">SUM(H55:H56)</f>
        <v>0</v>
      </c>
      <c r="I54" s="13">
        <f t="shared" si="12"/>
        <v>0</v>
      </c>
      <c r="J54" s="13">
        <f t="shared" si="12"/>
        <v>0</v>
      </c>
      <c r="K54" s="13">
        <f t="shared" si="12"/>
        <v>0</v>
      </c>
      <c r="L54" s="13">
        <f t="shared" si="12"/>
        <v>500</v>
      </c>
      <c r="M54" s="13">
        <f t="shared" si="12"/>
        <v>0</v>
      </c>
      <c r="N54" s="13">
        <f t="shared" si="12"/>
        <v>0</v>
      </c>
      <c r="O54" s="13">
        <f>SUM(O55:O56)</f>
        <v>0</v>
      </c>
      <c r="P54" s="82" t="s">
        <v>140</v>
      </c>
      <c r="Q54" s="82" t="s">
        <v>44</v>
      </c>
      <c r="R54" s="82">
        <f>SUM(S54:Z56)</f>
        <v>1</v>
      </c>
      <c r="S54" s="82" t="s">
        <v>37</v>
      </c>
      <c r="T54" s="82" t="s">
        <v>37</v>
      </c>
      <c r="U54" s="82" t="s">
        <v>37</v>
      </c>
      <c r="V54" s="82" t="s">
        <v>37</v>
      </c>
      <c r="W54" s="82">
        <v>1</v>
      </c>
      <c r="X54" s="82">
        <v>0</v>
      </c>
      <c r="Y54" s="82">
        <v>0</v>
      </c>
      <c r="Z54" s="82">
        <v>0</v>
      </c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</row>
    <row r="55" spans="1:258" ht="39.75" customHeight="1" x14ac:dyDescent="0.25">
      <c r="A55" s="172"/>
      <c r="B55" s="139"/>
      <c r="C55" s="125"/>
      <c r="D55" s="125"/>
      <c r="E55" s="83"/>
      <c r="F55" s="49" t="s">
        <v>35</v>
      </c>
      <c r="G55" s="13">
        <f>SUM(H55:O55)</f>
        <v>500</v>
      </c>
      <c r="H55" s="13">
        <f>500-500</f>
        <v>0</v>
      </c>
      <c r="I55" s="13">
        <f>500-500</f>
        <v>0</v>
      </c>
      <c r="J55" s="13">
        <f>500-500</f>
        <v>0</v>
      </c>
      <c r="K55" s="13">
        <f>500-500</f>
        <v>0</v>
      </c>
      <c r="L55" s="13">
        <v>500</v>
      </c>
      <c r="M55" s="13">
        <v>0</v>
      </c>
      <c r="N55" s="13">
        <v>0</v>
      </c>
      <c r="O55" s="13">
        <v>0</v>
      </c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</row>
    <row r="56" spans="1:258" ht="48.75" customHeight="1" x14ac:dyDescent="0.25">
      <c r="A56" s="173"/>
      <c r="B56" s="140"/>
      <c r="C56" s="125"/>
      <c r="D56" s="125"/>
      <c r="E56" s="83"/>
      <c r="F56" s="49" t="s">
        <v>36</v>
      </c>
      <c r="G56" s="13">
        <f>SUM(H56:O56)</f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</row>
    <row r="57" spans="1:258" ht="48.75" customHeight="1" x14ac:dyDescent="0.25">
      <c r="A57" s="171" t="s">
        <v>117</v>
      </c>
      <c r="B57" s="138" t="s">
        <v>178</v>
      </c>
      <c r="C57" s="125">
        <v>2022</v>
      </c>
      <c r="D57" s="125">
        <v>2027</v>
      </c>
      <c r="E57" s="83" t="s">
        <v>136</v>
      </c>
      <c r="F57" s="55" t="s">
        <v>34</v>
      </c>
      <c r="G57" s="13">
        <f t="shared" ref="G57:G59" si="13">SUM(H57:O57)</f>
        <v>1500</v>
      </c>
      <c r="H57" s="13">
        <f t="shared" ref="H57:N57" si="14">SUM(H58:H59)</f>
        <v>0</v>
      </c>
      <c r="I57" s="13">
        <f t="shared" si="14"/>
        <v>0</v>
      </c>
      <c r="J57" s="13">
        <f t="shared" si="14"/>
        <v>0</v>
      </c>
      <c r="K57" s="13">
        <f t="shared" si="14"/>
        <v>0</v>
      </c>
      <c r="L57" s="13">
        <f t="shared" si="14"/>
        <v>500</v>
      </c>
      <c r="M57" s="13">
        <f t="shared" si="14"/>
        <v>500</v>
      </c>
      <c r="N57" s="13">
        <f t="shared" si="14"/>
        <v>500</v>
      </c>
      <c r="O57" s="13">
        <f>SUM(O58:O59)</f>
        <v>0</v>
      </c>
      <c r="P57" s="82" t="s">
        <v>179</v>
      </c>
      <c r="Q57" s="82" t="s">
        <v>44</v>
      </c>
      <c r="R57" s="82">
        <f>SUM(S57:Z59)</f>
        <v>13</v>
      </c>
      <c r="S57" s="82">
        <v>0</v>
      </c>
      <c r="T57" s="82">
        <v>0</v>
      </c>
      <c r="U57" s="82">
        <v>0</v>
      </c>
      <c r="V57" s="82">
        <v>3</v>
      </c>
      <c r="W57" s="82">
        <v>1</v>
      </c>
      <c r="X57" s="82">
        <v>3</v>
      </c>
      <c r="Y57" s="82">
        <v>3</v>
      </c>
      <c r="Z57" s="82">
        <v>3</v>
      </c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</row>
    <row r="58" spans="1:258" ht="44.25" customHeight="1" x14ac:dyDescent="0.25">
      <c r="A58" s="172"/>
      <c r="B58" s="139"/>
      <c r="C58" s="125"/>
      <c r="D58" s="125"/>
      <c r="E58" s="83"/>
      <c r="F58" s="49" t="s">
        <v>35</v>
      </c>
      <c r="G58" s="13">
        <f t="shared" si="13"/>
        <v>1500</v>
      </c>
      <c r="H58" s="13">
        <f>500-500</f>
        <v>0</v>
      </c>
      <c r="I58" s="13">
        <f>500-500</f>
        <v>0</v>
      </c>
      <c r="J58" s="13">
        <v>0</v>
      </c>
      <c r="K58" s="13">
        <v>0</v>
      </c>
      <c r="L58" s="13">
        <v>500</v>
      </c>
      <c r="M58" s="13">
        <v>500</v>
      </c>
      <c r="N58" s="13">
        <v>500</v>
      </c>
      <c r="O58" s="13">
        <v>0</v>
      </c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</row>
    <row r="59" spans="1:258" ht="44.25" customHeight="1" x14ac:dyDescent="0.25">
      <c r="A59" s="173"/>
      <c r="B59" s="140"/>
      <c r="C59" s="125"/>
      <c r="D59" s="125"/>
      <c r="E59" s="83"/>
      <c r="F59" s="49" t="s">
        <v>36</v>
      </c>
      <c r="G59" s="13">
        <f t="shared" si="13"/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  <c r="IV59" s="5"/>
      <c r="IW59" s="5"/>
      <c r="IX59" s="5"/>
    </row>
    <row r="60" spans="1:258" ht="68.25" customHeight="1" x14ac:dyDescent="0.25">
      <c r="A60" s="84" t="s">
        <v>40</v>
      </c>
      <c r="B60" s="85"/>
      <c r="C60" s="11">
        <v>2020</v>
      </c>
      <c r="D60" s="11">
        <v>2027</v>
      </c>
      <c r="E60" s="12" t="s">
        <v>37</v>
      </c>
      <c r="F60" s="9" t="s">
        <v>37</v>
      </c>
      <c r="G60" s="10" t="s">
        <v>37</v>
      </c>
      <c r="H60" s="10" t="s">
        <v>37</v>
      </c>
      <c r="I60" s="10" t="s">
        <v>37</v>
      </c>
      <c r="J60" s="10" t="s">
        <v>37</v>
      </c>
      <c r="K60" s="10" t="s">
        <v>37</v>
      </c>
      <c r="L60" s="10" t="s">
        <v>37</v>
      </c>
      <c r="M60" s="10" t="s">
        <v>37</v>
      </c>
      <c r="N60" s="10" t="s">
        <v>37</v>
      </c>
      <c r="O60" s="10" t="s">
        <v>37</v>
      </c>
      <c r="P60" s="9" t="s">
        <v>37</v>
      </c>
      <c r="Q60" s="8" t="s">
        <v>37</v>
      </c>
      <c r="R60" s="8" t="s">
        <v>37</v>
      </c>
      <c r="S60" s="8" t="s">
        <v>37</v>
      </c>
      <c r="T60" s="8" t="s">
        <v>37</v>
      </c>
      <c r="U60" s="8" t="s">
        <v>37</v>
      </c>
      <c r="V60" s="8" t="s">
        <v>37</v>
      </c>
      <c r="W60" s="8" t="s">
        <v>37</v>
      </c>
      <c r="X60" s="8" t="s">
        <v>37</v>
      </c>
      <c r="Y60" s="8" t="s">
        <v>37</v>
      </c>
      <c r="Z60" s="8" t="s">
        <v>37</v>
      </c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  <c r="IU60" s="5"/>
      <c r="IV60" s="5"/>
      <c r="IW60" s="5"/>
      <c r="IX60" s="5"/>
    </row>
    <row r="61" spans="1:258" ht="108" customHeight="1" x14ac:dyDescent="0.25">
      <c r="A61" s="84" t="s">
        <v>41</v>
      </c>
      <c r="B61" s="85"/>
      <c r="C61" s="11">
        <v>2020</v>
      </c>
      <c r="D61" s="11">
        <v>2027</v>
      </c>
      <c r="E61" s="12" t="s">
        <v>37</v>
      </c>
      <c r="F61" s="9" t="s">
        <v>37</v>
      </c>
      <c r="G61" s="10" t="s">
        <v>37</v>
      </c>
      <c r="H61" s="10" t="s">
        <v>37</v>
      </c>
      <c r="I61" s="10" t="s">
        <v>37</v>
      </c>
      <c r="J61" s="10" t="s">
        <v>37</v>
      </c>
      <c r="K61" s="10" t="s">
        <v>37</v>
      </c>
      <c r="L61" s="10" t="s">
        <v>37</v>
      </c>
      <c r="M61" s="10" t="s">
        <v>37</v>
      </c>
      <c r="N61" s="10" t="s">
        <v>37</v>
      </c>
      <c r="O61" s="10" t="s">
        <v>37</v>
      </c>
      <c r="P61" s="9" t="s">
        <v>37</v>
      </c>
      <c r="Q61" s="8" t="s">
        <v>37</v>
      </c>
      <c r="R61" s="8" t="s">
        <v>37</v>
      </c>
      <c r="S61" s="8" t="s">
        <v>37</v>
      </c>
      <c r="T61" s="8" t="s">
        <v>37</v>
      </c>
      <c r="U61" s="8" t="s">
        <v>37</v>
      </c>
      <c r="V61" s="31" t="s">
        <v>37</v>
      </c>
      <c r="W61" s="8" t="s">
        <v>37</v>
      </c>
      <c r="X61" s="8" t="s">
        <v>37</v>
      </c>
      <c r="Y61" s="8" t="s">
        <v>37</v>
      </c>
      <c r="Z61" s="8" t="s">
        <v>37</v>
      </c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  <c r="IS61" s="5"/>
      <c r="IT61" s="5"/>
      <c r="IU61" s="5"/>
      <c r="IV61" s="5"/>
      <c r="IW61" s="5"/>
      <c r="IX61" s="5"/>
    </row>
    <row r="62" spans="1:258" ht="33" customHeight="1" x14ac:dyDescent="0.25">
      <c r="A62" s="83" t="s">
        <v>81</v>
      </c>
      <c r="B62" s="123" t="s">
        <v>82</v>
      </c>
      <c r="C62" s="80">
        <v>2024</v>
      </c>
      <c r="D62" s="80">
        <v>2027</v>
      </c>
      <c r="E62" s="124" t="s">
        <v>42</v>
      </c>
      <c r="F62" s="24" t="s">
        <v>34</v>
      </c>
      <c r="G62" s="13">
        <f t="shared" ref="G62:G70" si="15">SUM(H62:O62)</f>
        <v>20000</v>
      </c>
      <c r="H62" s="13">
        <f>SUM(H63:H64)</f>
        <v>0</v>
      </c>
      <c r="I62" s="13">
        <f t="shared" ref="I62:O62" si="16">SUM(I63:I64)</f>
        <v>0</v>
      </c>
      <c r="J62" s="13">
        <f t="shared" si="16"/>
        <v>0</v>
      </c>
      <c r="K62" s="13">
        <f t="shared" si="16"/>
        <v>0</v>
      </c>
      <c r="L62" s="13">
        <f t="shared" si="16"/>
        <v>20000</v>
      </c>
      <c r="M62" s="13">
        <f t="shared" si="16"/>
        <v>0</v>
      </c>
      <c r="N62" s="13">
        <f t="shared" si="16"/>
        <v>0</v>
      </c>
      <c r="O62" s="13">
        <f t="shared" si="16"/>
        <v>0</v>
      </c>
      <c r="P62" s="82" t="s">
        <v>43</v>
      </c>
      <c r="Q62" s="80" t="s">
        <v>44</v>
      </c>
      <c r="R62" s="80">
        <v>0</v>
      </c>
      <c r="S62" s="80">
        <v>0</v>
      </c>
      <c r="T62" s="80">
        <v>0</v>
      </c>
      <c r="U62" s="80">
        <v>0</v>
      </c>
      <c r="V62" s="80">
        <v>0</v>
      </c>
      <c r="W62" s="80">
        <v>0</v>
      </c>
      <c r="X62" s="80">
        <v>0</v>
      </c>
      <c r="Y62" s="80">
        <v>0</v>
      </c>
      <c r="Z62" s="80">
        <v>0</v>
      </c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</row>
    <row r="63" spans="1:258" ht="48.75" customHeight="1" x14ac:dyDescent="0.25">
      <c r="A63" s="83"/>
      <c r="B63" s="123"/>
      <c r="C63" s="80"/>
      <c r="D63" s="80"/>
      <c r="E63" s="124"/>
      <c r="F63" s="14" t="s">
        <v>35</v>
      </c>
      <c r="G63" s="13">
        <f t="shared" si="15"/>
        <v>20000</v>
      </c>
      <c r="H63" s="13">
        <v>0</v>
      </c>
      <c r="I63" s="13">
        <v>0</v>
      </c>
      <c r="J63" s="13">
        <v>0</v>
      </c>
      <c r="K63" s="13">
        <v>0</v>
      </c>
      <c r="L63" s="13">
        <v>20000</v>
      </c>
      <c r="M63" s="13">
        <v>0</v>
      </c>
      <c r="N63" s="13">
        <v>0</v>
      </c>
      <c r="O63" s="13">
        <v>0</v>
      </c>
      <c r="P63" s="82"/>
      <c r="Q63" s="80"/>
      <c r="R63" s="80"/>
      <c r="S63" s="80"/>
      <c r="T63" s="80"/>
      <c r="U63" s="80"/>
      <c r="V63" s="80"/>
      <c r="W63" s="80"/>
      <c r="X63" s="80"/>
      <c r="Y63" s="80"/>
      <c r="Z63" s="80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  <c r="IS63" s="5"/>
      <c r="IT63" s="5"/>
      <c r="IU63" s="5"/>
      <c r="IV63" s="5"/>
      <c r="IW63" s="5"/>
      <c r="IX63" s="5"/>
    </row>
    <row r="64" spans="1:258" ht="51" customHeight="1" x14ac:dyDescent="0.25">
      <c r="A64" s="83"/>
      <c r="B64" s="123"/>
      <c r="C64" s="80"/>
      <c r="D64" s="80"/>
      <c r="E64" s="124"/>
      <c r="F64" s="14" t="s">
        <v>36</v>
      </c>
      <c r="G64" s="13">
        <f t="shared" si="15"/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82"/>
      <c r="Q64" s="80"/>
      <c r="R64" s="80"/>
      <c r="S64" s="80"/>
      <c r="T64" s="80"/>
      <c r="U64" s="80"/>
      <c r="V64" s="80"/>
      <c r="W64" s="80"/>
      <c r="X64" s="80"/>
      <c r="Y64" s="80"/>
      <c r="Z64" s="80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</row>
    <row r="65" spans="1:258" ht="33" customHeight="1" x14ac:dyDescent="0.25">
      <c r="A65" s="83" t="s">
        <v>83</v>
      </c>
      <c r="B65" s="123" t="s">
        <v>84</v>
      </c>
      <c r="C65" s="80">
        <v>2024</v>
      </c>
      <c r="D65" s="80">
        <v>2027</v>
      </c>
      <c r="E65" s="124" t="s">
        <v>42</v>
      </c>
      <c r="F65" s="24" t="s">
        <v>34</v>
      </c>
      <c r="G65" s="13">
        <f t="shared" si="15"/>
        <v>0</v>
      </c>
      <c r="H65" s="13">
        <f>SUM(H66:H67)</f>
        <v>0</v>
      </c>
      <c r="I65" s="13">
        <f t="shared" ref="I65:O65" si="17">SUM(I66:I67)</f>
        <v>0</v>
      </c>
      <c r="J65" s="13">
        <f t="shared" si="17"/>
        <v>0</v>
      </c>
      <c r="K65" s="13">
        <f t="shared" si="17"/>
        <v>0</v>
      </c>
      <c r="L65" s="13">
        <f t="shared" si="17"/>
        <v>0</v>
      </c>
      <c r="M65" s="13">
        <f t="shared" si="17"/>
        <v>0</v>
      </c>
      <c r="N65" s="13">
        <f t="shared" si="17"/>
        <v>0</v>
      </c>
      <c r="O65" s="13">
        <f t="shared" si="17"/>
        <v>0</v>
      </c>
      <c r="P65" s="82" t="s">
        <v>43</v>
      </c>
      <c r="Q65" s="80" t="s">
        <v>44</v>
      </c>
      <c r="R65" s="80">
        <v>0</v>
      </c>
      <c r="S65" s="80">
        <v>0</v>
      </c>
      <c r="T65" s="80">
        <v>0</v>
      </c>
      <c r="U65" s="80">
        <v>0</v>
      </c>
      <c r="V65" s="80">
        <v>0</v>
      </c>
      <c r="W65" s="80">
        <v>0</v>
      </c>
      <c r="X65" s="80">
        <v>0</v>
      </c>
      <c r="Y65" s="80">
        <v>0</v>
      </c>
      <c r="Z65" s="80">
        <v>0</v>
      </c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</row>
    <row r="66" spans="1:258" ht="51" customHeight="1" x14ac:dyDescent="0.25">
      <c r="A66" s="83"/>
      <c r="B66" s="123"/>
      <c r="C66" s="80"/>
      <c r="D66" s="80"/>
      <c r="E66" s="124"/>
      <c r="F66" s="14" t="s">
        <v>35</v>
      </c>
      <c r="G66" s="13">
        <f t="shared" si="15"/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82"/>
      <c r="Q66" s="80"/>
      <c r="R66" s="80"/>
      <c r="S66" s="80"/>
      <c r="T66" s="80"/>
      <c r="U66" s="80"/>
      <c r="V66" s="80"/>
      <c r="W66" s="80"/>
      <c r="X66" s="80"/>
      <c r="Y66" s="80"/>
      <c r="Z66" s="80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</row>
    <row r="67" spans="1:258" ht="51" customHeight="1" x14ac:dyDescent="0.25">
      <c r="A67" s="83"/>
      <c r="B67" s="123"/>
      <c r="C67" s="80"/>
      <c r="D67" s="80"/>
      <c r="E67" s="124"/>
      <c r="F67" s="14" t="s">
        <v>36</v>
      </c>
      <c r="G67" s="13">
        <f t="shared" si="15"/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82"/>
      <c r="Q67" s="80"/>
      <c r="R67" s="80"/>
      <c r="S67" s="80"/>
      <c r="T67" s="80"/>
      <c r="U67" s="80"/>
      <c r="V67" s="80"/>
      <c r="W67" s="80"/>
      <c r="X67" s="80"/>
      <c r="Y67" s="80"/>
      <c r="Z67" s="80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</row>
    <row r="68" spans="1:258" ht="36" customHeight="1" x14ac:dyDescent="0.25">
      <c r="A68" s="83" t="s">
        <v>85</v>
      </c>
      <c r="B68" s="123" t="s">
        <v>86</v>
      </c>
      <c r="C68" s="80">
        <v>2024</v>
      </c>
      <c r="D68" s="80">
        <v>2027</v>
      </c>
      <c r="E68" s="124" t="s">
        <v>42</v>
      </c>
      <c r="F68" s="24" t="s">
        <v>34</v>
      </c>
      <c r="G68" s="13">
        <f t="shared" si="15"/>
        <v>0</v>
      </c>
      <c r="H68" s="13">
        <f>SUM(H69:H70)</f>
        <v>0</v>
      </c>
      <c r="I68" s="13">
        <f t="shared" ref="I68:O68" si="18">SUM(I69:I70)</f>
        <v>0</v>
      </c>
      <c r="J68" s="13">
        <f t="shared" si="18"/>
        <v>0</v>
      </c>
      <c r="K68" s="13">
        <f t="shared" si="18"/>
        <v>0</v>
      </c>
      <c r="L68" s="13">
        <f t="shared" si="18"/>
        <v>0</v>
      </c>
      <c r="M68" s="13">
        <f t="shared" si="18"/>
        <v>0</v>
      </c>
      <c r="N68" s="13">
        <f t="shared" si="18"/>
        <v>0</v>
      </c>
      <c r="O68" s="13">
        <f t="shared" si="18"/>
        <v>0</v>
      </c>
      <c r="P68" s="82" t="s">
        <v>43</v>
      </c>
      <c r="Q68" s="80" t="s">
        <v>44</v>
      </c>
      <c r="R68" s="80">
        <v>0</v>
      </c>
      <c r="S68" s="80">
        <v>0</v>
      </c>
      <c r="T68" s="80">
        <v>0</v>
      </c>
      <c r="U68" s="80">
        <v>0</v>
      </c>
      <c r="V68" s="80">
        <v>0</v>
      </c>
      <c r="W68" s="80">
        <v>0</v>
      </c>
      <c r="X68" s="80">
        <v>0</v>
      </c>
      <c r="Y68" s="80">
        <v>0</v>
      </c>
      <c r="Z68" s="80">
        <v>0</v>
      </c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</row>
    <row r="69" spans="1:258" ht="51" customHeight="1" x14ac:dyDescent="0.25">
      <c r="A69" s="83"/>
      <c r="B69" s="123"/>
      <c r="C69" s="80"/>
      <c r="D69" s="80"/>
      <c r="E69" s="124"/>
      <c r="F69" s="14" t="s">
        <v>35</v>
      </c>
      <c r="G69" s="13">
        <f t="shared" si="15"/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82"/>
      <c r="Q69" s="80"/>
      <c r="R69" s="80"/>
      <c r="S69" s="80"/>
      <c r="T69" s="80"/>
      <c r="U69" s="80"/>
      <c r="V69" s="80"/>
      <c r="W69" s="80"/>
      <c r="X69" s="80"/>
      <c r="Y69" s="80"/>
      <c r="Z69" s="80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</row>
    <row r="70" spans="1:258" ht="51" customHeight="1" x14ac:dyDescent="0.25">
      <c r="A70" s="83"/>
      <c r="B70" s="123"/>
      <c r="C70" s="80"/>
      <c r="D70" s="80"/>
      <c r="E70" s="124"/>
      <c r="F70" s="14" t="s">
        <v>36</v>
      </c>
      <c r="G70" s="13">
        <f t="shared" si="15"/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82"/>
      <c r="Q70" s="80"/>
      <c r="R70" s="80"/>
      <c r="S70" s="80"/>
      <c r="T70" s="80"/>
      <c r="U70" s="80"/>
      <c r="V70" s="80"/>
      <c r="W70" s="80"/>
      <c r="X70" s="80"/>
      <c r="Y70" s="80"/>
      <c r="Z70" s="80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</row>
    <row r="71" spans="1:258" ht="51" customHeight="1" x14ac:dyDescent="0.25">
      <c r="A71" s="94" t="s">
        <v>87</v>
      </c>
      <c r="B71" s="138" t="s">
        <v>88</v>
      </c>
      <c r="C71" s="94" t="s">
        <v>89</v>
      </c>
      <c r="D71" s="94">
        <v>2027</v>
      </c>
      <c r="E71" s="141" t="s">
        <v>42</v>
      </c>
      <c r="F71" s="24" t="s">
        <v>34</v>
      </c>
      <c r="G71" s="13">
        <f t="shared" ref="G71:G73" si="19">SUM(H71:O71)</f>
        <v>10000</v>
      </c>
      <c r="H71" s="13">
        <f>SUM(H72:H73)</f>
        <v>0</v>
      </c>
      <c r="I71" s="13">
        <f t="shared" ref="I71:O71" si="20">SUM(I72:I73)</f>
        <v>0</v>
      </c>
      <c r="J71" s="13">
        <f t="shared" si="20"/>
        <v>0</v>
      </c>
      <c r="K71" s="13">
        <f t="shared" si="20"/>
        <v>0</v>
      </c>
      <c r="L71" s="13">
        <f t="shared" si="20"/>
        <v>10000</v>
      </c>
      <c r="M71" s="13">
        <f t="shared" si="20"/>
        <v>0</v>
      </c>
      <c r="N71" s="13">
        <f t="shared" si="20"/>
        <v>0</v>
      </c>
      <c r="O71" s="13">
        <f t="shared" si="20"/>
        <v>0</v>
      </c>
      <c r="P71" s="108" t="s">
        <v>51</v>
      </c>
      <c r="Q71" s="108" t="s">
        <v>44</v>
      </c>
      <c r="R71" s="108">
        <v>0</v>
      </c>
      <c r="S71" s="108">
        <v>0</v>
      </c>
      <c r="T71" s="108">
        <v>0</v>
      </c>
      <c r="U71" s="108">
        <v>0</v>
      </c>
      <c r="V71" s="108">
        <v>0</v>
      </c>
      <c r="W71" s="108">
        <v>0</v>
      </c>
      <c r="X71" s="108">
        <v>0</v>
      </c>
      <c r="Y71" s="108">
        <v>0</v>
      </c>
      <c r="Z71" s="108">
        <v>0</v>
      </c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</row>
    <row r="72" spans="1:258" ht="51" customHeight="1" x14ac:dyDescent="0.25">
      <c r="A72" s="95"/>
      <c r="B72" s="139"/>
      <c r="C72" s="95"/>
      <c r="D72" s="95"/>
      <c r="E72" s="142"/>
      <c r="F72" s="14" t="s">
        <v>35</v>
      </c>
      <c r="G72" s="13">
        <f t="shared" si="19"/>
        <v>10000</v>
      </c>
      <c r="H72" s="13">
        <v>0</v>
      </c>
      <c r="I72" s="13">
        <v>0</v>
      </c>
      <c r="J72" s="13">
        <v>0</v>
      </c>
      <c r="K72" s="13">
        <v>0</v>
      </c>
      <c r="L72" s="13">
        <v>10000</v>
      </c>
      <c r="M72" s="13">
        <v>0</v>
      </c>
      <c r="N72" s="13">
        <v>0</v>
      </c>
      <c r="O72" s="13">
        <v>0</v>
      </c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</row>
    <row r="73" spans="1:258" ht="51" customHeight="1" x14ac:dyDescent="0.25">
      <c r="A73" s="96"/>
      <c r="B73" s="140"/>
      <c r="C73" s="96"/>
      <c r="D73" s="96"/>
      <c r="E73" s="143"/>
      <c r="F73" s="14" t="s">
        <v>36</v>
      </c>
      <c r="G73" s="13">
        <f t="shared" si="19"/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</row>
    <row r="74" spans="1:258" ht="51" customHeight="1" x14ac:dyDescent="0.25">
      <c r="A74" s="94" t="s">
        <v>90</v>
      </c>
      <c r="B74" s="97" t="s">
        <v>91</v>
      </c>
      <c r="C74" s="100">
        <v>2020</v>
      </c>
      <c r="D74" s="100">
        <v>2027</v>
      </c>
      <c r="E74" s="108" t="s">
        <v>42</v>
      </c>
      <c r="F74" s="24" t="s">
        <v>34</v>
      </c>
      <c r="G74" s="13">
        <f t="shared" ref="G74:G76" si="21">SUM(H74:O74)</f>
        <v>40000</v>
      </c>
      <c r="H74" s="13">
        <f t="shared" ref="H74:N74" si="22">SUM(H75:H76)</f>
        <v>0</v>
      </c>
      <c r="I74" s="13">
        <f t="shared" si="22"/>
        <v>0</v>
      </c>
      <c r="J74" s="13">
        <f t="shared" si="22"/>
        <v>0</v>
      </c>
      <c r="K74" s="15">
        <f t="shared" si="22"/>
        <v>0</v>
      </c>
      <c r="L74" s="15">
        <f t="shared" si="22"/>
        <v>0</v>
      </c>
      <c r="M74" s="15">
        <f t="shared" si="22"/>
        <v>0</v>
      </c>
      <c r="N74" s="13">
        <f t="shared" si="22"/>
        <v>0</v>
      </c>
      <c r="O74" s="13">
        <f>SUM(O75:O76)</f>
        <v>40000</v>
      </c>
      <c r="P74" s="108" t="s">
        <v>92</v>
      </c>
      <c r="Q74" s="100" t="s">
        <v>44</v>
      </c>
      <c r="R74" s="80">
        <f>SUM(S74:Z76)</f>
        <v>18</v>
      </c>
      <c r="S74" s="80">
        <v>0</v>
      </c>
      <c r="T74" s="80">
        <v>1</v>
      </c>
      <c r="U74" s="80">
        <v>1</v>
      </c>
      <c r="V74" s="80">
        <v>3</v>
      </c>
      <c r="W74" s="80">
        <v>10</v>
      </c>
      <c r="X74" s="80">
        <v>1</v>
      </c>
      <c r="Y74" s="80">
        <v>1</v>
      </c>
      <c r="Z74" s="80">
        <v>1</v>
      </c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</row>
    <row r="75" spans="1:258" ht="51" customHeight="1" x14ac:dyDescent="0.25">
      <c r="A75" s="95"/>
      <c r="B75" s="98"/>
      <c r="C75" s="101"/>
      <c r="D75" s="101"/>
      <c r="E75" s="109"/>
      <c r="F75" s="14" t="s">
        <v>35</v>
      </c>
      <c r="G75" s="13">
        <f t="shared" si="21"/>
        <v>40000</v>
      </c>
      <c r="H75" s="13">
        <v>0</v>
      </c>
      <c r="I75" s="13">
        <v>0</v>
      </c>
      <c r="J75" s="13">
        <v>0</v>
      </c>
      <c r="K75" s="15">
        <v>0</v>
      </c>
      <c r="L75" s="15">
        <v>0</v>
      </c>
      <c r="M75" s="15">
        <v>0</v>
      </c>
      <c r="N75" s="13">
        <v>0</v>
      </c>
      <c r="O75" s="13">
        <v>40000</v>
      </c>
      <c r="P75" s="109"/>
      <c r="Q75" s="101"/>
      <c r="R75" s="80"/>
      <c r="S75" s="80"/>
      <c r="T75" s="80"/>
      <c r="U75" s="80"/>
      <c r="V75" s="80"/>
      <c r="W75" s="80"/>
      <c r="X75" s="80"/>
      <c r="Y75" s="80"/>
      <c r="Z75" s="80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</row>
    <row r="76" spans="1:258" ht="51" customHeight="1" x14ac:dyDescent="0.25">
      <c r="A76" s="96"/>
      <c r="B76" s="99"/>
      <c r="C76" s="102"/>
      <c r="D76" s="102"/>
      <c r="E76" s="110"/>
      <c r="F76" s="14" t="s">
        <v>36</v>
      </c>
      <c r="G76" s="13">
        <f t="shared" si="21"/>
        <v>0</v>
      </c>
      <c r="H76" s="13">
        <v>0</v>
      </c>
      <c r="I76" s="13">
        <v>0</v>
      </c>
      <c r="J76" s="13">
        <v>0</v>
      </c>
      <c r="K76" s="15">
        <v>0</v>
      </c>
      <c r="L76" s="15">
        <v>0</v>
      </c>
      <c r="M76" s="15">
        <v>0</v>
      </c>
      <c r="N76" s="13">
        <v>0</v>
      </c>
      <c r="O76" s="13">
        <v>0</v>
      </c>
      <c r="P76" s="110"/>
      <c r="Q76" s="102"/>
      <c r="R76" s="80"/>
      <c r="S76" s="80"/>
      <c r="T76" s="80"/>
      <c r="U76" s="80"/>
      <c r="V76" s="80"/>
      <c r="W76" s="80"/>
      <c r="X76" s="80"/>
      <c r="Y76" s="80"/>
      <c r="Z76" s="80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</row>
    <row r="77" spans="1:258" ht="51" customHeight="1" x14ac:dyDescent="0.25">
      <c r="A77" s="83" t="s">
        <v>93</v>
      </c>
      <c r="B77" s="123" t="s">
        <v>94</v>
      </c>
      <c r="C77" s="80">
        <v>2024</v>
      </c>
      <c r="D77" s="80">
        <v>2027</v>
      </c>
      <c r="E77" s="82" t="s">
        <v>45</v>
      </c>
      <c r="F77" s="24" t="s">
        <v>34</v>
      </c>
      <c r="G77" s="13">
        <f t="shared" ref="G77:G79" si="23">SUM(H77:O77)</f>
        <v>20000</v>
      </c>
      <c r="H77" s="13">
        <f>SUM(H78:H79)</f>
        <v>0</v>
      </c>
      <c r="I77" s="13">
        <f t="shared" ref="I77:O77" si="24">SUM(I78:I79)</f>
        <v>0</v>
      </c>
      <c r="J77" s="13">
        <f t="shared" si="24"/>
        <v>0</v>
      </c>
      <c r="K77" s="15">
        <f t="shared" si="24"/>
        <v>0</v>
      </c>
      <c r="L77" s="15">
        <f t="shared" si="24"/>
        <v>20000</v>
      </c>
      <c r="M77" s="15">
        <f t="shared" si="24"/>
        <v>0</v>
      </c>
      <c r="N77" s="13">
        <f t="shared" si="24"/>
        <v>0</v>
      </c>
      <c r="O77" s="13">
        <f t="shared" si="24"/>
        <v>0</v>
      </c>
      <c r="P77" s="104" t="s">
        <v>95</v>
      </c>
      <c r="Q77" s="100" t="s">
        <v>96</v>
      </c>
      <c r="R77" s="144">
        <v>490</v>
      </c>
      <c r="S77" s="144">
        <v>0</v>
      </c>
      <c r="T77" s="144">
        <v>0</v>
      </c>
      <c r="U77" s="144">
        <v>0</v>
      </c>
      <c r="V77" s="144">
        <v>0</v>
      </c>
      <c r="W77" s="144">
        <v>490</v>
      </c>
      <c r="X77" s="144">
        <v>0</v>
      </c>
      <c r="Y77" s="144">
        <v>0</v>
      </c>
      <c r="Z77" s="144">
        <v>0</v>
      </c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</row>
    <row r="78" spans="1:258" ht="51" customHeight="1" x14ac:dyDescent="0.25">
      <c r="A78" s="83"/>
      <c r="B78" s="123"/>
      <c r="C78" s="80"/>
      <c r="D78" s="80"/>
      <c r="E78" s="82"/>
      <c r="F78" s="14" t="s">
        <v>35</v>
      </c>
      <c r="G78" s="13">
        <f t="shared" si="23"/>
        <v>20000</v>
      </c>
      <c r="H78" s="13">
        <f>30000-30000</f>
        <v>0</v>
      </c>
      <c r="I78" s="13">
        <v>0</v>
      </c>
      <c r="J78" s="13">
        <v>0</v>
      </c>
      <c r="K78" s="15">
        <v>0</v>
      </c>
      <c r="L78" s="15">
        <v>20000</v>
      </c>
      <c r="M78" s="15">
        <v>0</v>
      </c>
      <c r="N78" s="13">
        <v>0</v>
      </c>
      <c r="O78" s="13">
        <v>0</v>
      </c>
      <c r="P78" s="145"/>
      <c r="Q78" s="101"/>
      <c r="R78" s="144"/>
      <c r="S78" s="144"/>
      <c r="T78" s="144"/>
      <c r="U78" s="144"/>
      <c r="V78" s="144"/>
      <c r="W78" s="144"/>
      <c r="X78" s="144"/>
      <c r="Y78" s="144"/>
      <c r="Z78" s="144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  <c r="IS78" s="5"/>
      <c r="IT78" s="5"/>
      <c r="IU78" s="5"/>
      <c r="IV78" s="5"/>
      <c r="IW78" s="5"/>
      <c r="IX78" s="5"/>
    </row>
    <row r="79" spans="1:258" ht="51" customHeight="1" x14ac:dyDescent="0.25">
      <c r="A79" s="83"/>
      <c r="B79" s="123"/>
      <c r="C79" s="80"/>
      <c r="D79" s="80"/>
      <c r="E79" s="82"/>
      <c r="F79" s="14" t="s">
        <v>36</v>
      </c>
      <c r="G79" s="13">
        <f t="shared" si="23"/>
        <v>0</v>
      </c>
      <c r="H79" s="13">
        <v>0</v>
      </c>
      <c r="I79" s="13">
        <v>0</v>
      </c>
      <c r="J79" s="13">
        <v>0</v>
      </c>
      <c r="K79" s="15">
        <v>0</v>
      </c>
      <c r="L79" s="15">
        <v>0</v>
      </c>
      <c r="M79" s="15">
        <v>0</v>
      </c>
      <c r="N79" s="13">
        <v>0</v>
      </c>
      <c r="O79" s="13">
        <v>0</v>
      </c>
      <c r="P79" s="146"/>
      <c r="Q79" s="102"/>
      <c r="R79" s="144"/>
      <c r="S79" s="144"/>
      <c r="T79" s="144"/>
      <c r="U79" s="144"/>
      <c r="V79" s="144"/>
      <c r="W79" s="144"/>
      <c r="X79" s="144"/>
      <c r="Y79" s="144"/>
      <c r="Z79" s="144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</row>
    <row r="80" spans="1:258" ht="51" customHeight="1" x14ac:dyDescent="0.25">
      <c r="A80" s="94" t="s">
        <v>52</v>
      </c>
      <c r="B80" s="97" t="s">
        <v>97</v>
      </c>
      <c r="C80" s="100">
        <v>2020</v>
      </c>
      <c r="D80" s="100">
        <v>2027</v>
      </c>
      <c r="E80" s="103" t="s">
        <v>42</v>
      </c>
      <c r="F80" s="24" t="s">
        <v>34</v>
      </c>
      <c r="G80" s="13">
        <f>[1]Приложение!G241</f>
        <v>82486071.310000002</v>
      </c>
      <c r="H80" s="13">
        <f>[1]Приложение!H241</f>
        <v>9701652.25</v>
      </c>
      <c r="I80" s="13">
        <f>[1]Приложение!I241</f>
        <v>11986031.880000001</v>
      </c>
      <c r="J80" s="13">
        <f>[1]Приложение!J241</f>
        <v>7916696.0499999998</v>
      </c>
      <c r="K80" s="15">
        <f>[1]Приложение!K241</f>
        <v>11188273.84</v>
      </c>
      <c r="L80" s="15">
        <f>[1]Приложение!L241</f>
        <v>13095057.289999999</v>
      </c>
      <c r="M80" s="15">
        <f>[1]Приложение!M241</f>
        <v>10159840</v>
      </c>
      <c r="N80" s="13">
        <f>[1]Приложение!N241</f>
        <v>16938520</v>
      </c>
      <c r="O80" s="13">
        <f>[1]Приложение!O241</f>
        <v>1500000</v>
      </c>
      <c r="P80" s="81" t="s">
        <v>98</v>
      </c>
      <c r="Q80" s="144" t="s">
        <v>99</v>
      </c>
      <c r="R80" s="144">
        <v>1.5</v>
      </c>
      <c r="S80" s="144">
        <v>1.5</v>
      </c>
      <c r="T80" s="144">
        <v>1.5</v>
      </c>
      <c r="U80" s="144">
        <v>1</v>
      </c>
      <c r="V80" s="144">
        <v>1.5</v>
      </c>
      <c r="W80" s="144">
        <v>0.7</v>
      </c>
      <c r="X80" s="144">
        <v>1.5</v>
      </c>
      <c r="Y80" s="144">
        <v>1.5</v>
      </c>
      <c r="Z80" s="144">
        <v>1.5</v>
      </c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  <c r="IR80" s="5"/>
      <c r="IS80" s="5"/>
      <c r="IT80" s="5"/>
      <c r="IU80" s="5"/>
      <c r="IV80" s="5"/>
      <c r="IW80" s="5"/>
      <c r="IX80" s="5"/>
    </row>
    <row r="81" spans="1:258" ht="51" customHeight="1" x14ac:dyDescent="0.25">
      <c r="A81" s="95"/>
      <c r="B81" s="98"/>
      <c r="C81" s="101"/>
      <c r="D81" s="101"/>
      <c r="E81" s="104"/>
      <c r="F81" s="14" t="s">
        <v>35</v>
      </c>
      <c r="G81" s="13">
        <f>[1]Приложение!G242</f>
        <v>14954854.470000001</v>
      </c>
      <c r="H81" s="13">
        <f>[1]Приложение!H242</f>
        <v>1013408.86</v>
      </c>
      <c r="I81" s="13">
        <f>[1]Приложение!I242</f>
        <v>1973307.03</v>
      </c>
      <c r="J81" s="13">
        <f>[1]Приложение!J242</f>
        <v>455133.36</v>
      </c>
      <c r="K81" s="15">
        <f>[1]Приложение!K242</f>
        <v>2350171.9500000002</v>
      </c>
      <c r="L81" s="15">
        <f>[1]Приложение!L242</f>
        <v>3755033.27</v>
      </c>
      <c r="M81" s="15">
        <f>[1]Приложение!M242</f>
        <v>1089700</v>
      </c>
      <c r="N81" s="13">
        <f>[1]Приложение!N242</f>
        <v>2818100</v>
      </c>
      <c r="O81" s="13">
        <f>[1]Приложение!O242</f>
        <v>1500000</v>
      </c>
      <c r="P81" s="81"/>
      <c r="Q81" s="144"/>
      <c r="R81" s="144"/>
      <c r="S81" s="144"/>
      <c r="T81" s="144"/>
      <c r="U81" s="144"/>
      <c r="V81" s="144"/>
      <c r="W81" s="144"/>
      <c r="X81" s="144"/>
      <c r="Y81" s="144"/>
      <c r="Z81" s="144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</row>
    <row r="82" spans="1:258" ht="51" customHeight="1" x14ac:dyDescent="0.25">
      <c r="A82" s="95"/>
      <c r="B82" s="98"/>
      <c r="C82" s="101"/>
      <c r="D82" s="101"/>
      <c r="E82" s="104"/>
      <c r="F82" s="14" t="s">
        <v>36</v>
      </c>
      <c r="G82" s="13">
        <f>[1]Приложение!G243</f>
        <v>2500000</v>
      </c>
      <c r="H82" s="13">
        <f>[1]Приложение!H243</f>
        <v>0</v>
      </c>
      <c r="I82" s="13">
        <f>[1]Приложение!I243</f>
        <v>0</v>
      </c>
      <c r="J82" s="13">
        <f>[1]Приложение!J243</f>
        <v>0</v>
      </c>
      <c r="K82" s="15">
        <f>[1]Приложение!K243</f>
        <v>0</v>
      </c>
      <c r="L82" s="15">
        <f>[1]Приложение!L243</f>
        <v>2500000</v>
      </c>
      <c r="M82" s="15">
        <f>[1]Приложение!M243</f>
        <v>0</v>
      </c>
      <c r="N82" s="13">
        <f>[1]Приложение!N243</f>
        <v>0</v>
      </c>
      <c r="O82" s="13">
        <f>[1]Приложение!O243</f>
        <v>0</v>
      </c>
      <c r="P82" s="81"/>
      <c r="Q82" s="144"/>
      <c r="R82" s="144"/>
      <c r="S82" s="144"/>
      <c r="T82" s="144"/>
      <c r="U82" s="144"/>
      <c r="V82" s="144"/>
      <c r="W82" s="144"/>
      <c r="X82" s="144"/>
      <c r="Y82" s="144"/>
      <c r="Z82" s="144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  <c r="IR82" s="5"/>
      <c r="IS82" s="5"/>
      <c r="IT82" s="5"/>
      <c r="IU82" s="5"/>
      <c r="IV82" s="5"/>
      <c r="IW82" s="5"/>
      <c r="IX82" s="5"/>
    </row>
    <row r="83" spans="1:258" ht="51" customHeight="1" x14ac:dyDescent="0.25">
      <c r="A83" s="63"/>
      <c r="B83" s="147"/>
      <c r="C83" s="63"/>
      <c r="D83" s="63"/>
      <c r="E83" s="146"/>
      <c r="F83" s="14" t="s">
        <v>80</v>
      </c>
      <c r="G83" s="13">
        <f>[1]Приложение!G244</f>
        <v>65031216.840000004</v>
      </c>
      <c r="H83" s="13">
        <f>[1]Приложение!H244</f>
        <v>8688243.3900000006</v>
      </c>
      <c r="I83" s="13">
        <f>[1]Приложение!I244</f>
        <v>10012724.85</v>
      </c>
      <c r="J83" s="13">
        <f>[1]Приложение!J244</f>
        <v>7461562.6900000004</v>
      </c>
      <c r="K83" s="15">
        <f>[1]Приложение!K244</f>
        <v>8838101.8900000006</v>
      </c>
      <c r="L83" s="15">
        <f>[1]Приложение!L244</f>
        <v>6840024.0199999996</v>
      </c>
      <c r="M83" s="15">
        <f>[1]Приложение!M244</f>
        <v>9070140</v>
      </c>
      <c r="N83" s="13">
        <f>[1]Приложение!N244</f>
        <v>14120420</v>
      </c>
      <c r="O83" s="13">
        <f>[1]Приложение!O244</f>
        <v>0</v>
      </c>
      <c r="P83" s="81"/>
      <c r="Q83" s="144"/>
      <c r="R83" s="144"/>
      <c r="S83" s="144"/>
      <c r="T83" s="144"/>
      <c r="U83" s="144"/>
      <c r="V83" s="144"/>
      <c r="W83" s="144"/>
      <c r="X83" s="144"/>
      <c r="Y83" s="144"/>
      <c r="Z83" s="144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  <c r="IR83" s="5"/>
      <c r="IS83" s="5"/>
      <c r="IT83" s="5"/>
      <c r="IU83" s="5"/>
      <c r="IV83" s="5"/>
      <c r="IW83" s="5"/>
      <c r="IX83" s="5"/>
    </row>
    <row r="84" spans="1:258" ht="141" customHeight="1" x14ac:dyDescent="0.25">
      <c r="A84" s="134" t="s">
        <v>46</v>
      </c>
      <c r="B84" s="135"/>
      <c r="C84" s="23">
        <v>2020</v>
      </c>
      <c r="D84" s="23">
        <v>2027</v>
      </c>
      <c r="E84" s="18" t="s">
        <v>37</v>
      </c>
      <c r="F84" s="9" t="s">
        <v>37</v>
      </c>
      <c r="G84" s="10" t="s">
        <v>37</v>
      </c>
      <c r="H84" s="10" t="s">
        <v>37</v>
      </c>
      <c r="I84" s="10" t="s">
        <v>37</v>
      </c>
      <c r="J84" s="10" t="s">
        <v>37</v>
      </c>
      <c r="K84" s="10" t="s">
        <v>37</v>
      </c>
      <c r="L84" s="10" t="s">
        <v>37</v>
      </c>
      <c r="M84" s="10" t="s">
        <v>37</v>
      </c>
      <c r="N84" s="10" t="s">
        <v>37</v>
      </c>
      <c r="O84" s="10" t="s">
        <v>37</v>
      </c>
      <c r="P84" s="9" t="s">
        <v>37</v>
      </c>
      <c r="Q84" s="19" t="s">
        <v>37</v>
      </c>
      <c r="R84" s="56" t="s">
        <v>37</v>
      </c>
      <c r="S84" s="56" t="s">
        <v>37</v>
      </c>
      <c r="T84" s="56" t="s">
        <v>37</v>
      </c>
      <c r="U84" s="56" t="s">
        <v>37</v>
      </c>
      <c r="V84" s="56" t="s">
        <v>37</v>
      </c>
      <c r="W84" s="56" t="s">
        <v>37</v>
      </c>
      <c r="X84" s="56" t="s">
        <v>37</v>
      </c>
      <c r="Y84" s="19" t="s">
        <v>37</v>
      </c>
      <c r="Z84" s="19" t="s">
        <v>37</v>
      </c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/>
      <c r="IR84" s="5"/>
      <c r="IS84" s="5"/>
      <c r="IT84" s="5"/>
      <c r="IU84" s="5"/>
      <c r="IV84" s="5"/>
      <c r="IW84" s="5"/>
      <c r="IX84" s="5"/>
    </row>
    <row r="85" spans="1:258" ht="135" customHeight="1" x14ac:dyDescent="0.25">
      <c r="A85" s="136" t="s">
        <v>47</v>
      </c>
      <c r="B85" s="137"/>
      <c r="C85" s="23">
        <v>2020</v>
      </c>
      <c r="D85" s="23">
        <v>2027</v>
      </c>
      <c r="E85" s="18" t="s">
        <v>37</v>
      </c>
      <c r="F85" s="9" t="s">
        <v>37</v>
      </c>
      <c r="G85" s="10" t="s">
        <v>37</v>
      </c>
      <c r="H85" s="10" t="s">
        <v>37</v>
      </c>
      <c r="I85" s="10" t="s">
        <v>37</v>
      </c>
      <c r="J85" s="10" t="s">
        <v>37</v>
      </c>
      <c r="K85" s="10" t="s">
        <v>37</v>
      </c>
      <c r="L85" s="10" t="s">
        <v>37</v>
      </c>
      <c r="M85" s="10" t="s">
        <v>37</v>
      </c>
      <c r="N85" s="10" t="s">
        <v>37</v>
      </c>
      <c r="O85" s="10" t="s">
        <v>37</v>
      </c>
      <c r="P85" s="9" t="s">
        <v>37</v>
      </c>
      <c r="Q85" s="19" t="s">
        <v>37</v>
      </c>
      <c r="R85" s="56" t="s">
        <v>37</v>
      </c>
      <c r="S85" s="56" t="s">
        <v>37</v>
      </c>
      <c r="T85" s="56" t="s">
        <v>37</v>
      </c>
      <c r="U85" s="56" t="s">
        <v>37</v>
      </c>
      <c r="V85" s="56" t="s">
        <v>37</v>
      </c>
      <c r="W85" s="56" t="s">
        <v>37</v>
      </c>
      <c r="X85" s="56" t="s">
        <v>37</v>
      </c>
      <c r="Y85" s="19" t="s">
        <v>37</v>
      </c>
      <c r="Z85" s="19" t="s">
        <v>37</v>
      </c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  <c r="IV85" s="5"/>
      <c r="IW85" s="5"/>
      <c r="IX85" s="5"/>
    </row>
    <row r="86" spans="1:258" ht="51" customHeight="1" x14ac:dyDescent="0.25">
      <c r="A86" s="94" t="s">
        <v>48</v>
      </c>
      <c r="B86" s="97" t="s">
        <v>49</v>
      </c>
      <c r="C86" s="100">
        <v>2020</v>
      </c>
      <c r="D86" s="100">
        <v>2027</v>
      </c>
      <c r="E86" s="103" t="s">
        <v>42</v>
      </c>
      <c r="F86" s="24" t="s">
        <v>34</v>
      </c>
      <c r="G86" s="13">
        <f t="shared" ref="G86:G91" si="25">SUM(H86:O86)</f>
        <v>8844031.8599999994</v>
      </c>
      <c r="H86" s="13">
        <f t="shared" ref="H86:O86" si="26">SUM(H87:H88)</f>
        <v>2441199.6</v>
      </c>
      <c r="I86" s="13">
        <f t="shared" si="26"/>
        <v>922509</v>
      </c>
      <c r="J86" s="13">
        <f t="shared" si="26"/>
        <v>769582.8</v>
      </c>
      <c r="K86" s="15">
        <f>SUM(K87:K88)</f>
        <v>2747058.79</v>
      </c>
      <c r="L86" s="15">
        <f>SUM(L87:L88)</f>
        <v>1463681.67</v>
      </c>
      <c r="M86" s="15">
        <f>SUM(M87:M88)</f>
        <v>100000</v>
      </c>
      <c r="N86" s="13">
        <f t="shared" ref="N86" si="27">SUM(N87:N88)</f>
        <v>100000</v>
      </c>
      <c r="O86" s="13">
        <f t="shared" si="26"/>
        <v>300000</v>
      </c>
      <c r="P86" s="108" t="s">
        <v>100</v>
      </c>
      <c r="Q86" s="100" t="s">
        <v>44</v>
      </c>
      <c r="R86" s="100">
        <f>SUM(S86:Z88)</f>
        <v>25</v>
      </c>
      <c r="S86" s="100">
        <v>3</v>
      </c>
      <c r="T86" s="100">
        <v>2</v>
      </c>
      <c r="U86" s="100">
        <v>1</v>
      </c>
      <c r="V86" s="100">
        <v>4</v>
      </c>
      <c r="W86" s="100">
        <v>0</v>
      </c>
      <c r="X86" s="100">
        <v>5</v>
      </c>
      <c r="Y86" s="100">
        <v>5</v>
      </c>
      <c r="Z86" s="100">
        <v>5</v>
      </c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  <c r="IV86" s="5"/>
      <c r="IW86" s="5"/>
      <c r="IX86" s="5"/>
    </row>
    <row r="87" spans="1:258" ht="51" customHeight="1" x14ac:dyDescent="0.25">
      <c r="A87" s="95"/>
      <c r="B87" s="98"/>
      <c r="C87" s="101"/>
      <c r="D87" s="101"/>
      <c r="E87" s="104"/>
      <c r="F87" s="14" t="s">
        <v>35</v>
      </c>
      <c r="G87" s="13">
        <f t="shared" si="25"/>
        <v>856410.53</v>
      </c>
      <c r="H87" s="13">
        <f>2145630.21-2034.33-2070359.88</f>
        <v>73236</v>
      </c>
      <c r="I87" s="13">
        <f>500000+27675.27-55000-445000</f>
        <v>27675.27</v>
      </c>
      <c r="J87" s="13">
        <f>100000-76912.51</f>
        <v>23087.49</v>
      </c>
      <c r="K87" s="15">
        <v>82411.77</v>
      </c>
      <c r="L87" s="15">
        <f>100000+50000</f>
        <v>150000</v>
      </c>
      <c r="M87" s="15">
        <v>100000</v>
      </c>
      <c r="N87" s="13">
        <v>100000</v>
      </c>
      <c r="O87" s="13">
        <v>300000</v>
      </c>
      <c r="P87" s="109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  <c r="IV87" s="5"/>
      <c r="IW87" s="5"/>
      <c r="IX87" s="5"/>
    </row>
    <row r="88" spans="1:258" ht="63" customHeight="1" x14ac:dyDescent="0.25">
      <c r="A88" s="96"/>
      <c r="B88" s="99"/>
      <c r="C88" s="102"/>
      <c r="D88" s="102"/>
      <c r="E88" s="105"/>
      <c r="F88" s="14" t="s">
        <v>36</v>
      </c>
      <c r="G88" s="13">
        <f t="shared" si="25"/>
        <v>7987621.3300000001</v>
      </c>
      <c r="H88" s="13">
        <f>2433740.37-65776.77</f>
        <v>2367963.6</v>
      </c>
      <c r="I88" s="13">
        <v>894833.73</v>
      </c>
      <c r="J88" s="13">
        <f>746495.31</f>
        <v>746495.31</v>
      </c>
      <c r="K88" s="15">
        <v>2664647.02</v>
      </c>
      <c r="L88" s="15">
        <v>1313681.67</v>
      </c>
      <c r="M88" s="15">
        <v>0</v>
      </c>
      <c r="N88" s="13">
        <v>0</v>
      </c>
      <c r="O88" s="13">
        <v>0</v>
      </c>
      <c r="P88" s="110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  <c r="IV88" s="5"/>
      <c r="IW88" s="5"/>
      <c r="IX88" s="5"/>
    </row>
    <row r="89" spans="1:258" ht="63" customHeight="1" x14ac:dyDescent="0.25">
      <c r="A89" s="94" t="s">
        <v>103</v>
      </c>
      <c r="B89" s="97" t="s">
        <v>101</v>
      </c>
      <c r="C89" s="100">
        <v>2020</v>
      </c>
      <c r="D89" s="100">
        <v>2027</v>
      </c>
      <c r="E89" s="103" t="s">
        <v>42</v>
      </c>
      <c r="F89" s="24" t="s">
        <v>34</v>
      </c>
      <c r="G89" s="13">
        <f t="shared" si="25"/>
        <v>2183104</v>
      </c>
      <c r="H89" s="13">
        <v>0</v>
      </c>
      <c r="I89" s="13">
        <v>0</v>
      </c>
      <c r="J89" s="13">
        <v>0</v>
      </c>
      <c r="K89" s="15">
        <f>SUM(K90:K91)</f>
        <v>0</v>
      </c>
      <c r="L89" s="15">
        <f>SUM(L90:L91)</f>
        <v>694368</v>
      </c>
      <c r="M89" s="15">
        <f>SUM(M90:M91)</f>
        <v>867960</v>
      </c>
      <c r="N89" s="13">
        <f>SUM(N90:N91)</f>
        <v>520776</v>
      </c>
      <c r="O89" s="13">
        <f>SUM(O90:O91)</f>
        <v>100000</v>
      </c>
      <c r="P89" s="108" t="s">
        <v>102</v>
      </c>
      <c r="Q89" s="100" t="s">
        <v>44</v>
      </c>
      <c r="R89" s="100">
        <f>SUM(S89:Z91)</f>
        <v>3</v>
      </c>
      <c r="S89" s="100">
        <v>0</v>
      </c>
      <c r="T89" s="100">
        <v>0</v>
      </c>
      <c r="U89" s="100">
        <v>0</v>
      </c>
      <c r="V89" s="100">
        <v>0</v>
      </c>
      <c r="W89" s="100">
        <v>0</v>
      </c>
      <c r="X89" s="100">
        <v>1</v>
      </c>
      <c r="Y89" s="100">
        <v>1</v>
      </c>
      <c r="Z89" s="100">
        <v>1</v>
      </c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  <c r="IV89" s="5"/>
      <c r="IW89" s="5"/>
      <c r="IX89" s="5"/>
    </row>
    <row r="90" spans="1:258" ht="63" customHeight="1" x14ac:dyDescent="0.25">
      <c r="A90" s="95"/>
      <c r="B90" s="98"/>
      <c r="C90" s="101"/>
      <c r="D90" s="101"/>
      <c r="E90" s="104"/>
      <c r="F90" s="14" t="s">
        <v>35</v>
      </c>
      <c r="G90" s="13">
        <f t="shared" si="25"/>
        <v>100000</v>
      </c>
      <c r="H90" s="13">
        <v>0</v>
      </c>
      <c r="I90" s="13">
        <v>0</v>
      </c>
      <c r="J90" s="13">
        <v>0</v>
      </c>
      <c r="K90" s="15">
        <v>0</v>
      </c>
      <c r="L90" s="15">
        <v>0</v>
      </c>
      <c r="M90" s="15">
        <v>0</v>
      </c>
      <c r="N90" s="13">
        <v>0</v>
      </c>
      <c r="O90" s="13">
        <v>100000</v>
      </c>
      <c r="P90" s="109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  <c r="IV90" s="5"/>
      <c r="IW90" s="5"/>
      <c r="IX90" s="5"/>
    </row>
    <row r="91" spans="1:258" ht="63" customHeight="1" x14ac:dyDescent="0.25">
      <c r="A91" s="96"/>
      <c r="B91" s="99"/>
      <c r="C91" s="102"/>
      <c r="D91" s="102"/>
      <c r="E91" s="105"/>
      <c r="F91" s="14" t="s">
        <v>36</v>
      </c>
      <c r="G91" s="13">
        <f t="shared" si="25"/>
        <v>2083104</v>
      </c>
      <c r="H91" s="13">
        <v>0</v>
      </c>
      <c r="I91" s="13">
        <v>0</v>
      </c>
      <c r="J91" s="13">
        <v>0</v>
      </c>
      <c r="K91" s="15">
        <v>0</v>
      </c>
      <c r="L91" s="15">
        <v>694368</v>
      </c>
      <c r="M91" s="15">
        <v>867960</v>
      </c>
      <c r="N91" s="13">
        <v>520776</v>
      </c>
      <c r="O91" s="13">
        <v>0</v>
      </c>
      <c r="P91" s="110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5"/>
      <c r="IK91" s="5"/>
      <c r="IL91" s="5"/>
      <c r="IM91" s="5"/>
      <c r="IN91" s="5"/>
      <c r="IO91" s="5"/>
      <c r="IP91" s="5"/>
      <c r="IQ91" s="5"/>
      <c r="IR91" s="5"/>
      <c r="IS91" s="5"/>
      <c r="IT91" s="5"/>
      <c r="IU91" s="5"/>
      <c r="IV91" s="5"/>
      <c r="IW91" s="5"/>
      <c r="IX91" s="5"/>
    </row>
    <row r="92" spans="1:258" ht="39" customHeight="1" x14ac:dyDescent="0.25">
      <c r="A92" s="122" t="s">
        <v>104</v>
      </c>
      <c r="B92" s="138" t="s">
        <v>105</v>
      </c>
      <c r="C92" s="122" t="s">
        <v>89</v>
      </c>
      <c r="D92" s="122" t="s">
        <v>50</v>
      </c>
      <c r="E92" s="108" t="s">
        <v>42</v>
      </c>
      <c r="F92" s="20" t="s">
        <v>34</v>
      </c>
      <c r="G92" s="10">
        <f t="shared" ref="G92:G94" si="28">SUM(H92:O92)</f>
        <v>9900000</v>
      </c>
      <c r="H92" s="21">
        <f t="shared" ref="H92:N92" si="29">SUM(H93:H94)</f>
        <v>0</v>
      </c>
      <c r="I92" s="21">
        <f t="shared" si="29"/>
        <v>0</v>
      </c>
      <c r="J92" s="21">
        <f t="shared" si="29"/>
        <v>0</v>
      </c>
      <c r="K92" s="21">
        <f t="shared" si="29"/>
        <v>0</v>
      </c>
      <c r="L92" s="21">
        <f t="shared" si="29"/>
        <v>9900000</v>
      </c>
      <c r="M92" s="21">
        <f t="shared" si="29"/>
        <v>0</v>
      </c>
      <c r="N92" s="21">
        <f t="shared" si="29"/>
        <v>0</v>
      </c>
      <c r="O92" s="21">
        <f>SUM(O93:O94)</f>
        <v>0</v>
      </c>
      <c r="P92" s="108" t="s">
        <v>106</v>
      </c>
      <c r="Q92" s="108" t="s">
        <v>44</v>
      </c>
      <c r="R92" s="108">
        <v>1</v>
      </c>
      <c r="S92" s="108">
        <v>0</v>
      </c>
      <c r="T92" s="108">
        <v>0</v>
      </c>
      <c r="U92" s="108">
        <v>0</v>
      </c>
      <c r="V92" s="108">
        <v>0</v>
      </c>
      <c r="W92" s="108">
        <v>1</v>
      </c>
      <c r="X92" s="108">
        <v>0</v>
      </c>
      <c r="Y92" s="108">
        <v>0</v>
      </c>
      <c r="Z92" s="108">
        <v>0</v>
      </c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  <c r="IM92" s="5"/>
      <c r="IN92" s="5"/>
      <c r="IO92" s="5"/>
      <c r="IP92" s="5"/>
      <c r="IQ92" s="5"/>
      <c r="IR92" s="5"/>
      <c r="IS92" s="5"/>
      <c r="IT92" s="5"/>
      <c r="IU92" s="5"/>
      <c r="IV92" s="5"/>
      <c r="IW92" s="5"/>
      <c r="IX92" s="5"/>
    </row>
    <row r="93" spans="1:258" ht="51" customHeight="1" x14ac:dyDescent="0.25">
      <c r="A93" s="122"/>
      <c r="B93" s="139"/>
      <c r="C93" s="122"/>
      <c r="D93" s="122"/>
      <c r="E93" s="109"/>
      <c r="F93" s="20" t="s">
        <v>38</v>
      </c>
      <c r="G93" s="10">
        <f t="shared" si="28"/>
        <v>9900000</v>
      </c>
      <c r="H93" s="21">
        <v>0</v>
      </c>
      <c r="I93" s="21">
        <v>0</v>
      </c>
      <c r="J93" s="21">
        <v>0</v>
      </c>
      <c r="K93" s="21">
        <v>0</v>
      </c>
      <c r="L93" s="21">
        <f>9000000+900000</f>
        <v>9900000</v>
      </c>
      <c r="M93" s="21">
        <v>0</v>
      </c>
      <c r="N93" s="21">
        <v>0</v>
      </c>
      <c r="O93" s="21">
        <v>0</v>
      </c>
      <c r="P93" s="109"/>
      <c r="Q93" s="109"/>
      <c r="R93" s="109"/>
      <c r="S93" s="109"/>
      <c r="T93" s="109"/>
      <c r="U93" s="109"/>
      <c r="V93" s="109"/>
      <c r="W93" s="109"/>
      <c r="X93" s="109"/>
      <c r="Y93" s="109"/>
      <c r="Z93" s="109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  <c r="IM93" s="5"/>
      <c r="IN93" s="5"/>
      <c r="IO93" s="5"/>
      <c r="IP93" s="5"/>
      <c r="IQ93" s="5"/>
      <c r="IR93" s="5"/>
      <c r="IS93" s="5"/>
      <c r="IT93" s="5"/>
      <c r="IU93" s="5"/>
      <c r="IV93" s="5"/>
      <c r="IW93" s="5"/>
      <c r="IX93" s="5"/>
    </row>
    <row r="94" spans="1:258" ht="67.5" customHeight="1" x14ac:dyDescent="0.25">
      <c r="A94" s="122"/>
      <c r="B94" s="140"/>
      <c r="C94" s="122"/>
      <c r="D94" s="122"/>
      <c r="E94" s="110"/>
      <c r="F94" s="22" t="s">
        <v>39</v>
      </c>
      <c r="G94" s="10">
        <f t="shared" si="28"/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  <c r="IR94" s="5"/>
      <c r="IS94" s="5"/>
      <c r="IT94" s="5"/>
      <c r="IU94" s="5"/>
      <c r="IV94" s="5"/>
      <c r="IW94" s="5"/>
      <c r="IX94" s="5"/>
    </row>
    <row r="95" spans="1:258" ht="36" customHeight="1" x14ac:dyDescent="0.25">
      <c r="A95" s="94" t="s">
        <v>52</v>
      </c>
      <c r="B95" s="97" t="s">
        <v>53</v>
      </c>
      <c r="C95" s="100">
        <v>2020</v>
      </c>
      <c r="D95" s="100">
        <v>2027</v>
      </c>
      <c r="E95" s="114" t="s">
        <v>42</v>
      </c>
      <c r="F95" s="24" t="s">
        <v>34</v>
      </c>
      <c r="G95" s="13">
        <f>SUM(H95:O95)</f>
        <v>0</v>
      </c>
      <c r="H95" s="13">
        <f>SUM(H96:H97)</f>
        <v>0</v>
      </c>
      <c r="I95" s="13">
        <f>SUM(I96:I97)</f>
        <v>0</v>
      </c>
      <c r="J95" s="13">
        <f>SUM(J96:J97)</f>
        <v>0</v>
      </c>
      <c r="K95" s="15">
        <f>SUM(K96:K97)</f>
        <v>0</v>
      </c>
      <c r="L95" s="13">
        <f>SUM(L96:L97)</f>
        <v>0</v>
      </c>
      <c r="M95" s="13">
        <v>0</v>
      </c>
      <c r="N95" s="13">
        <v>0</v>
      </c>
      <c r="O95" s="13">
        <v>0</v>
      </c>
      <c r="P95" s="117" t="s">
        <v>54</v>
      </c>
      <c r="Q95" s="90" t="s">
        <v>55</v>
      </c>
      <c r="R95" s="86" t="s">
        <v>107</v>
      </c>
      <c r="S95" s="86" t="s">
        <v>56</v>
      </c>
      <c r="T95" s="86" t="s">
        <v>56</v>
      </c>
      <c r="U95" s="86" t="s">
        <v>57</v>
      </c>
      <c r="V95" s="86" t="s">
        <v>66</v>
      </c>
      <c r="W95" s="90">
        <v>0</v>
      </c>
      <c r="X95" s="90">
        <v>0</v>
      </c>
      <c r="Y95" s="90">
        <v>0</v>
      </c>
      <c r="Z95" s="90">
        <v>0</v>
      </c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  <c r="IR95" s="5"/>
      <c r="IS95" s="5"/>
      <c r="IT95" s="5"/>
      <c r="IU95" s="5"/>
      <c r="IV95" s="5"/>
      <c r="IW95" s="5"/>
      <c r="IX95" s="5"/>
    </row>
    <row r="96" spans="1:258" ht="54" customHeight="1" x14ac:dyDescent="0.25">
      <c r="A96" s="95"/>
      <c r="B96" s="98"/>
      <c r="C96" s="101"/>
      <c r="D96" s="101"/>
      <c r="E96" s="115"/>
      <c r="F96" s="14" t="s">
        <v>35</v>
      </c>
      <c r="G96" s="13">
        <f>SUM(H96:O96)</f>
        <v>0</v>
      </c>
      <c r="H96" s="13">
        <v>0</v>
      </c>
      <c r="I96" s="13">
        <v>0</v>
      </c>
      <c r="J96" s="13">
        <v>0</v>
      </c>
      <c r="K96" s="15">
        <v>0</v>
      </c>
      <c r="L96" s="13">
        <v>0</v>
      </c>
      <c r="M96" s="13">
        <v>0</v>
      </c>
      <c r="N96" s="13">
        <v>0</v>
      </c>
      <c r="O96" s="13">
        <v>0</v>
      </c>
      <c r="P96" s="118"/>
      <c r="Q96" s="91"/>
      <c r="R96" s="87"/>
      <c r="S96" s="87"/>
      <c r="T96" s="87"/>
      <c r="U96" s="87"/>
      <c r="V96" s="87"/>
      <c r="W96" s="91"/>
      <c r="X96" s="91"/>
      <c r="Y96" s="91"/>
      <c r="Z96" s="91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  <c r="IP96" s="5"/>
      <c r="IQ96" s="5"/>
      <c r="IR96" s="5"/>
      <c r="IS96" s="5"/>
      <c r="IT96" s="5"/>
      <c r="IU96" s="5"/>
      <c r="IV96" s="5"/>
      <c r="IW96" s="5"/>
      <c r="IX96" s="5"/>
    </row>
    <row r="97" spans="1:258" ht="64.5" customHeight="1" x14ac:dyDescent="0.25">
      <c r="A97" s="96"/>
      <c r="B97" s="99"/>
      <c r="C97" s="102"/>
      <c r="D97" s="102"/>
      <c r="E97" s="116"/>
      <c r="F97" s="14" t="s">
        <v>36</v>
      </c>
      <c r="G97" s="13">
        <f>SUM(H97:O97)</f>
        <v>0</v>
      </c>
      <c r="H97" s="13">
        <v>0</v>
      </c>
      <c r="I97" s="13">
        <v>0</v>
      </c>
      <c r="J97" s="13">
        <v>0</v>
      </c>
      <c r="K97" s="15">
        <v>0</v>
      </c>
      <c r="L97" s="13">
        <v>0</v>
      </c>
      <c r="M97" s="13">
        <v>0</v>
      </c>
      <c r="N97" s="13">
        <v>0</v>
      </c>
      <c r="O97" s="13">
        <v>0</v>
      </c>
      <c r="P97" s="118"/>
      <c r="Q97" s="91"/>
      <c r="R97" s="87"/>
      <c r="S97" s="87"/>
      <c r="T97" s="87"/>
      <c r="U97" s="87"/>
      <c r="V97" s="87"/>
      <c r="W97" s="91"/>
      <c r="X97" s="91"/>
      <c r="Y97" s="91"/>
      <c r="Z97" s="91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  <c r="IS97" s="5"/>
      <c r="IT97" s="5"/>
      <c r="IU97" s="5"/>
      <c r="IV97" s="5"/>
      <c r="IW97" s="5"/>
      <c r="IX97" s="5"/>
    </row>
    <row r="98" spans="1:258" ht="34.5" customHeight="1" x14ac:dyDescent="0.25">
      <c r="A98" s="94" t="s">
        <v>58</v>
      </c>
      <c r="B98" s="97" t="s">
        <v>59</v>
      </c>
      <c r="C98" s="100">
        <v>2020</v>
      </c>
      <c r="D98" s="100">
        <v>2027</v>
      </c>
      <c r="E98" s="114" t="s">
        <v>42</v>
      </c>
      <c r="F98" s="24" t="s">
        <v>34</v>
      </c>
      <c r="G98" s="13">
        <f t="shared" ref="G98:G109" si="30">SUM(H98:O98)</f>
        <v>0</v>
      </c>
      <c r="H98" s="13">
        <f>SUM(H99:H100)</f>
        <v>0</v>
      </c>
      <c r="I98" s="13">
        <f>SUM(I99:I100)</f>
        <v>0</v>
      </c>
      <c r="J98" s="13">
        <f>SUM(J99:J100)</f>
        <v>0</v>
      </c>
      <c r="K98" s="15">
        <f>SUM(K99:K100)</f>
        <v>0</v>
      </c>
      <c r="L98" s="13">
        <f>SUM(L99:L100)</f>
        <v>0</v>
      </c>
      <c r="M98" s="13">
        <v>0</v>
      </c>
      <c r="N98" s="13">
        <v>0</v>
      </c>
      <c r="O98" s="13">
        <v>0</v>
      </c>
      <c r="P98" s="118"/>
      <c r="Q98" s="91"/>
      <c r="R98" s="87"/>
      <c r="S98" s="87"/>
      <c r="T98" s="87"/>
      <c r="U98" s="87"/>
      <c r="V98" s="87"/>
      <c r="W98" s="91"/>
      <c r="X98" s="91"/>
      <c r="Y98" s="91"/>
      <c r="Z98" s="91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5"/>
      <c r="IR98" s="5"/>
      <c r="IS98" s="5"/>
      <c r="IT98" s="5"/>
      <c r="IU98" s="5"/>
      <c r="IV98" s="5"/>
      <c r="IW98" s="5"/>
      <c r="IX98" s="5"/>
    </row>
    <row r="99" spans="1:258" ht="51" customHeight="1" x14ac:dyDescent="0.25">
      <c r="A99" s="95"/>
      <c r="B99" s="98"/>
      <c r="C99" s="101"/>
      <c r="D99" s="101"/>
      <c r="E99" s="115"/>
      <c r="F99" s="14" t="s">
        <v>35</v>
      </c>
      <c r="G99" s="13">
        <f t="shared" si="30"/>
        <v>0</v>
      </c>
      <c r="H99" s="13">
        <f>100000-100000</f>
        <v>0</v>
      </c>
      <c r="I99" s="13">
        <f>100000-100000</f>
        <v>0</v>
      </c>
      <c r="J99" s="13">
        <f>100000-100000</f>
        <v>0</v>
      </c>
      <c r="K99" s="15">
        <v>0</v>
      </c>
      <c r="L99" s="13">
        <v>0</v>
      </c>
      <c r="M99" s="13">
        <v>0</v>
      </c>
      <c r="N99" s="13">
        <v>0</v>
      </c>
      <c r="O99" s="13">
        <v>0</v>
      </c>
      <c r="P99" s="118"/>
      <c r="Q99" s="91"/>
      <c r="R99" s="87"/>
      <c r="S99" s="87"/>
      <c r="T99" s="87"/>
      <c r="U99" s="87"/>
      <c r="V99" s="87"/>
      <c r="W99" s="91"/>
      <c r="X99" s="91"/>
      <c r="Y99" s="91"/>
      <c r="Z99" s="91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  <c r="IP99" s="5"/>
      <c r="IQ99" s="5"/>
      <c r="IR99" s="5"/>
      <c r="IS99" s="5"/>
      <c r="IT99" s="5"/>
      <c r="IU99" s="5"/>
      <c r="IV99" s="5"/>
      <c r="IW99" s="5"/>
      <c r="IX99" s="5"/>
    </row>
    <row r="100" spans="1:258" ht="64.5" customHeight="1" x14ac:dyDescent="0.25">
      <c r="A100" s="96"/>
      <c r="B100" s="99"/>
      <c r="C100" s="102"/>
      <c r="D100" s="102"/>
      <c r="E100" s="116"/>
      <c r="F100" s="14" t="s">
        <v>36</v>
      </c>
      <c r="G100" s="13">
        <f t="shared" si="30"/>
        <v>0</v>
      </c>
      <c r="H100" s="13">
        <v>0</v>
      </c>
      <c r="I100" s="13">
        <v>0</v>
      </c>
      <c r="J100" s="13">
        <v>0</v>
      </c>
      <c r="K100" s="15">
        <v>0</v>
      </c>
      <c r="L100" s="13">
        <v>0</v>
      </c>
      <c r="M100" s="13">
        <v>0</v>
      </c>
      <c r="N100" s="13">
        <v>0</v>
      </c>
      <c r="O100" s="13">
        <v>0</v>
      </c>
      <c r="P100" s="118"/>
      <c r="Q100" s="91"/>
      <c r="R100" s="87"/>
      <c r="S100" s="87"/>
      <c r="T100" s="87"/>
      <c r="U100" s="87"/>
      <c r="V100" s="87"/>
      <c r="W100" s="91"/>
      <c r="X100" s="91"/>
      <c r="Y100" s="91"/>
      <c r="Z100" s="91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  <c r="IP100" s="5"/>
      <c r="IQ100" s="5"/>
      <c r="IR100" s="5"/>
      <c r="IS100" s="5"/>
      <c r="IT100" s="5"/>
      <c r="IU100" s="5"/>
      <c r="IV100" s="5"/>
      <c r="IW100" s="5"/>
      <c r="IX100" s="5"/>
    </row>
    <row r="101" spans="1:258" ht="30" customHeight="1" x14ac:dyDescent="0.25">
      <c r="A101" s="94" t="s">
        <v>60</v>
      </c>
      <c r="B101" s="97" t="s">
        <v>61</v>
      </c>
      <c r="C101" s="100">
        <v>2020</v>
      </c>
      <c r="D101" s="100">
        <v>2027</v>
      </c>
      <c r="E101" s="114" t="s">
        <v>42</v>
      </c>
      <c r="F101" s="24" t="s">
        <v>34</v>
      </c>
      <c r="G101" s="13">
        <f t="shared" si="30"/>
        <v>956625</v>
      </c>
      <c r="H101" s="13">
        <f>SUM(H102:H103)</f>
        <v>107625</v>
      </c>
      <c r="I101" s="13">
        <f>SUM(I102:I103)</f>
        <v>0</v>
      </c>
      <c r="J101" s="13">
        <f>SUM(J102:J103)</f>
        <v>849000</v>
      </c>
      <c r="K101" s="15">
        <f>SUM(K102:K103)</f>
        <v>0</v>
      </c>
      <c r="L101" s="13">
        <f>SUM(L102:L103)</f>
        <v>0</v>
      </c>
      <c r="M101" s="13">
        <v>0</v>
      </c>
      <c r="N101" s="13">
        <v>0</v>
      </c>
      <c r="O101" s="13">
        <v>0</v>
      </c>
      <c r="P101" s="119"/>
      <c r="Q101" s="92"/>
      <c r="R101" s="88"/>
      <c r="S101" s="88"/>
      <c r="T101" s="88"/>
      <c r="U101" s="88"/>
      <c r="V101" s="88"/>
      <c r="W101" s="88"/>
      <c r="X101" s="91"/>
      <c r="Y101" s="91"/>
      <c r="Z101" s="91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IP101" s="5"/>
      <c r="IQ101" s="5"/>
      <c r="IR101" s="5"/>
      <c r="IS101" s="5"/>
      <c r="IT101" s="5"/>
      <c r="IU101" s="5"/>
      <c r="IV101" s="5"/>
      <c r="IW101" s="5"/>
      <c r="IX101" s="5"/>
    </row>
    <row r="102" spans="1:258" ht="48" customHeight="1" x14ac:dyDescent="0.25">
      <c r="A102" s="95"/>
      <c r="B102" s="98"/>
      <c r="C102" s="101"/>
      <c r="D102" s="62"/>
      <c r="E102" s="115"/>
      <c r="F102" s="14" t="s">
        <v>35</v>
      </c>
      <c r="G102" s="13">
        <f>SUM(H102:O102)</f>
        <v>192525</v>
      </c>
      <c r="H102" s="13">
        <f>307625-200000</f>
        <v>107625</v>
      </c>
      <c r="I102" s="13">
        <f>200000-50000-150000</f>
        <v>0</v>
      </c>
      <c r="J102" s="13">
        <f>150000-20000-45100</f>
        <v>84900</v>
      </c>
      <c r="K102" s="15">
        <f>200000-200000</f>
        <v>0</v>
      </c>
      <c r="L102" s="13">
        <v>0</v>
      </c>
      <c r="M102" s="13">
        <v>0</v>
      </c>
      <c r="N102" s="13">
        <v>0</v>
      </c>
      <c r="O102" s="13">
        <v>0</v>
      </c>
      <c r="P102" s="119"/>
      <c r="Q102" s="92"/>
      <c r="R102" s="88"/>
      <c r="S102" s="88"/>
      <c r="T102" s="88"/>
      <c r="U102" s="88"/>
      <c r="V102" s="88"/>
      <c r="W102" s="88"/>
      <c r="X102" s="91"/>
      <c r="Y102" s="91"/>
      <c r="Z102" s="91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  <c r="IJ102" s="5"/>
      <c r="IK102" s="5"/>
      <c r="IL102" s="5"/>
      <c r="IM102" s="5"/>
      <c r="IN102" s="5"/>
      <c r="IO102" s="5"/>
      <c r="IP102" s="5"/>
      <c r="IQ102" s="5"/>
      <c r="IR102" s="5"/>
      <c r="IS102" s="5"/>
      <c r="IT102" s="5"/>
      <c r="IU102" s="5"/>
      <c r="IV102" s="5"/>
      <c r="IW102" s="5"/>
      <c r="IX102" s="5"/>
    </row>
    <row r="103" spans="1:258" ht="64.5" customHeight="1" x14ac:dyDescent="0.25">
      <c r="A103" s="96"/>
      <c r="B103" s="99"/>
      <c r="C103" s="102"/>
      <c r="D103" s="63"/>
      <c r="E103" s="116"/>
      <c r="F103" s="14" t="s">
        <v>36</v>
      </c>
      <c r="G103" s="13">
        <f t="shared" si="30"/>
        <v>764100</v>
      </c>
      <c r="H103" s="13">
        <v>0</v>
      </c>
      <c r="I103" s="13">
        <v>0</v>
      </c>
      <c r="J103" s="13">
        <v>764100</v>
      </c>
      <c r="K103" s="15">
        <v>0</v>
      </c>
      <c r="L103" s="13">
        <v>0</v>
      </c>
      <c r="M103" s="13">
        <v>0</v>
      </c>
      <c r="N103" s="13">
        <v>0</v>
      </c>
      <c r="O103" s="13">
        <v>0</v>
      </c>
      <c r="P103" s="119"/>
      <c r="Q103" s="92"/>
      <c r="R103" s="88"/>
      <c r="S103" s="88"/>
      <c r="T103" s="88"/>
      <c r="U103" s="88"/>
      <c r="V103" s="88"/>
      <c r="W103" s="88"/>
      <c r="X103" s="91"/>
      <c r="Y103" s="91"/>
      <c r="Z103" s="91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HR103" s="5"/>
      <c r="HS103" s="5"/>
      <c r="HT103" s="5"/>
      <c r="HU103" s="5"/>
      <c r="HV103" s="5"/>
      <c r="HW103" s="5"/>
      <c r="HX103" s="5"/>
      <c r="HY103" s="5"/>
      <c r="HZ103" s="5"/>
      <c r="IA103" s="5"/>
      <c r="IB103" s="5"/>
      <c r="IC103" s="5"/>
      <c r="ID103" s="5"/>
      <c r="IE103" s="5"/>
      <c r="IF103" s="5"/>
      <c r="IG103" s="5"/>
      <c r="IH103" s="5"/>
      <c r="II103" s="5"/>
      <c r="IJ103" s="5"/>
      <c r="IK103" s="5"/>
      <c r="IL103" s="5"/>
      <c r="IM103" s="5"/>
      <c r="IN103" s="5"/>
      <c r="IO103" s="5"/>
      <c r="IP103" s="5"/>
      <c r="IQ103" s="5"/>
      <c r="IR103" s="5"/>
      <c r="IS103" s="5"/>
      <c r="IT103" s="5"/>
      <c r="IU103" s="5"/>
      <c r="IV103" s="5"/>
      <c r="IW103" s="5"/>
      <c r="IX103" s="5"/>
    </row>
    <row r="104" spans="1:258" ht="36" customHeight="1" x14ac:dyDescent="0.25">
      <c r="A104" s="94" t="s">
        <v>62</v>
      </c>
      <c r="B104" s="97" t="s">
        <v>63</v>
      </c>
      <c r="C104" s="100">
        <v>2020</v>
      </c>
      <c r="D104" s="100">
        <v>2027</v>
      </c>
      <c r="E104" s="114" t="s">
        <v>42</v>
      </c>
      <c r="F104" s="24" t="s">
        <v>34</v>
      </c>
      <c r="G104" s="13">
        <f>SUM(H104:O104)</f>
        <v>597000</v>
      </c>
      <c r="H104" s="13">
        <f>SUM(H105:H106)</f>
        <v>0</v>
      </c>
      <c r="I104" s="13">
        <f>SUM(I105:I106)</f>
        <v>597000</v>
      </c>
      <c r="J104" s="13">
        <f>SUM(J105:J106)</f>
        <v>0</v>
      </c>
      <c r="K104" s="13">
        <f>SUM(K105:K106)</f>
        <v>0</v>
      </c>
      <c r="L104" s="13">
        <f>SUM(L105:L106)</f>
        <v>0</v>
      </c>
      <c r="M104" s="13">
        <v>0</v>
      </c>
      <c r="N104" s="13">
        <v>0</v>
      </c>
      <c r="O104" s="13">
        <v>0</v>
      </c>
      <c r="P104" s="119"/>
      <c r="Q104" s="92"/>
      <c r="R104" s="88"/>
      <c r="S104" s="88"/>
      <c r="T104" s="88"/>
      <c r="U104" s="88"/>
      <c r="V104" s="88"/>
      <c r="W104" s="88"/>
      <c r="X104" s="91"/>
      <c r="Y104" s="91"/>
      <c r="Z104" s="91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  <c r="IF104" s="5"/>
      <c r="IG104" s="5"/>
      <c r="IH104" s="5"/>
      <c r="II104" s="5"/>
      <c r="IJ104" s="5"/>
      <c r="IK104" s="5"/>
      <c r="IL104" s="5"/>
      <c r="IM104" s="5"/>
      <c r="IN104" s="5"/>
      <c r="IO104" s="5"/>
      <c r="IP104" s="5"/>
      <c r="IQ104" s="5"/>
      <c r="IR104" s="5"/>
      <c r="IS104" s="5"/>
      <c r="IT104" s="5"/>
      <c r="IU104" s="5"/>
      <c r="IV104" s="5"/>
      <c r="IW104" s="5"/>
      <c r="IX104" s="5"/>
    </row>
    <row r="105" spans="1:258" ht="49.5" customHeight="1" x14ac:dyDescent="0.25">
      <c r="A105" s="95"/>
      <c r="B105" s="98"/>
      <c r="C105" s="101"/>
      <c r="D105" s="101"/>
      <c r="E105" s="115"/>
      <c r="F105" s="14" t="s">
        <v>35</v>
      </c>
      <c r="G105" s="13">
        <f t="shared" si="30"/>
        <v>597000</v>
      </c>
      <c r="H105" s="13">
        <f>200000-200000</f>
        <v>0</v>
      </c>
      <c r="I105" s="13">
        <f>600000-3000</f>
        <v>597000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19"/>
      <c r="Q105" s="92"/>
      <c r="R105" s="88"/>
      <c r="S105" s="88"/>
      <c r="T105" s="88"/>
      <c r="U105" s="88"/>
      <c r="V105" s="88"/>
      <c r="W105" s="88"/>
      <c r="X105" s="91"/>
      <c r="Y105" s="91"/>
      <c r="Z105" s="91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  <c r="II105" s="5"/>
      <c r="IJ105" s="5"/>
      <c r="IK105" s="5"/>
      <c r="IL105" s="5"/>
      <c r="IM105" s="5"/>
      <c r="IN105" s="5"/>
      <c r="IO105" s="5"/>
      <c r="IP105" s="5"/>
      <c r="IQ105" s="5"/>
      <c r="IR105" s="5"/>
      <c r="IS105" s="5"/>
      <c r="IT105" s="5"/>
      <c r="IU105" s="5"/>
      <c r="IV105" s="5"/>
      <c r="IW105" s="5"/>
      <c r="IX105" s="5"/>
    </row>
    <row r="106" spans="1:258" ht="64.5" customHeight="1" x14ac:dyDescent="0.25">
      <c r="A106" s="96"/>
      <c r="B106" s="99"/>
      <c r="C106" s="102"/>
      <c r="D106" s="102"/>
      <c r="E106" s="116"/>
      <c r="F106" s="14" t="s">
        <v>36</v>
      </c>
      <c r="G106" s="13">
        <f t="shared" si="30"/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19"/>
      <c r="Q106" s="92"/>
      <c r="R106" s="88"/>
      <c r="S106" s="88"/>
      <c r="T106" s="88"/>
      <c r="U106" s="88"/>
      <c r="V106" s="88"/>
      <c r="W106" s="88"/>
      <c r="X106" s="91"/>
      <c r="Y106" s="91"/>
      <c r="Z106" s="91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  <c r="IF106" s="5"/>
      <c r="IG106" s="5"/>
      <c r="IH106" s="5"/>
      <c r="II106" s="5"/>
      <c r="IJ106" s="5"/>
      <c r="IK106" s="5"/>
      <c r="IL106" s="5"/>
      <c r="IM106" s="5"/>
      <c r="IN106" s="5"/>
      <c r="IO106" s="5"/>
      <c r="IP106" s="5"/>
      <c r="IQ106" s="5"/>
      <c r="IR106" s="5"/>
      <c r="IS106" s="5"/>
      <c r="IT106" s="5"/>
      <c r="IU106" s="5"/>
      <c r="IV106" s="5"/>
      <c r="IW106" s="5"/>
      <c r="IX106" s="5"/>
    </row>
    <row r="107" spans="1:258" ht="51" customHeight="1" x14ac:dyDescent="0.25">
      <c r="A107" s="94" t="s">
        <v>64</v>
      </c>
      <c r="B107" s="97" t="s">
        <v>65</v>
      </c>
      <c r="C107" s="100">
        <v>2020</v>
      </c>
      <c r="D107" s="100">
        <v>2027</v>
      </c>
      <c r="E107" s="111" t="s">
        <v>42</v>
      </c>
      <c r="F107" s="24" t="s">
        <v>34</v>
      </c>
      <c r="G107" s="13">
        <f>SUM(H107:O107)</f>
        <v>6700000</v>
      </c>
      <c r="H107" s="13">
        <f>SUM(H108:H109)</f>
        <v>2090000</v>
      </c>
      <c r="I107" s="13">
        <f>SUM(I108:I109)</f>
        <v>1775000</v>
      </c>
      <c r="J107" s="13">
        <f>SUM(J108:J109)</f>
        <v>1535000</v>
      </c>
      <c r="K107" s="13">
        <f>SUM(K108:K109)</f>
        <v>1300000</v>
      </c>
      <c r="L107" s="13">
        <f>SUM(L108:L109)</f>
        <v>0</v>
      </c>
      <c r="M107" s="13">
        <v>0</v>
      </c>
      <c r="N107" s="13">
        <v>0</v>
      </c>
      <c r="O107" s="13">
        <v>0</v>
      </c>
      <c r="P107" s="119"/>
      <c r="Q107" s="92"/>
      <c r="R107" s="88"/>
      <c r="S107" s="88"/>
      <c r="T107" s="88"/>
      <c r="U107" s="88"/>
      <c r="V107" s="88"/>
      <c r="W107" s="88"/>
      <c r="X107" s="91"/>
      <c r="Y107" s="91"/>
      <c r="Z107" s="91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  <c r="IF107" s="5"/>
      <c r="IG107" s="5"/>
      <c r="IH107" s="5"/>
      <c r="II107" s="5"/>
      <c r="IJ107" s="5"/>
      <c r="IK107" s="5"/>
      <c r="IL107" s="5"/>
      <c r="IM107" s="5"/>
      <c r="IN107" s="5"/>
      <c r="IO107" s="5"/>
      <c r="IP107" s="5"/>
      <c r="IQ107" s="5"/>
      <c r="IR107" s="5"/>
      <c r="IS107" s="5"/>
      <c r="IT107" s="5"/>
      <c r="IU107" s="5"/>
      <c r="IV107" s="5"/>
      <c r="IW107" s="5"/>
      <c r="IX107" s="5"/>
    </row>
    <row r="108" spans="1:258" ht="51" customHeight="1" x14ac:dyDescent="0.25">
      <c r="A108" s="95"/>
      <c r="B108" s="98"/>
      <c r="C108" s="101"/>
      <c r="D108" s="101"/>
      <c r="E108" s="112"/>
      <c r="F108" s="14" t="s">
        <v>35</v>
      </c>
      <c r="G108" s="13">
        <f t="shared" si="30"/>
        <v>2141500</v>
      </c>
      <c r="H108" s="13">
        <f>500000-40000-51000-200000</f>
        <v>209000</v>
      </c>
      <c r="I108" s="13">
        <f>500000+100000+50000+157000+500+42500-42500</f>
        <v>807500</v>
      </c>
      <c r="J108" s="13">
        <f>500000+120000+95000-50000-30000</f>
        <v>635000</v>
      </c>
      <c r="K108" s="13">
        <f>350000+200000-60000</f>
        <v>490000</v>
      </c>
      <c r="L108" s="13">
        <v>0</v>
      </c>
      <c r="M108" s="13">
        <v>0</v>
      </c>
      <c r="N108" s="13">
        <v>0</v>
      </c>
      <c r="O108" s="13">
        <v>0</v>
      </c>
      <c r="P108" s="119"/>
      <c r="Q108" s="92"/>
      <c r="R108" s="88"/>
      <c r="S108" s="88"/>
      <c r="T108" s="88"/>
      <c r="U108" s="88"/>
      <c r="V108" s="88"/>
      <c r="W108" s="88"/>
      <c r="X108" s="91"/>
      <c r="Y108" s="91"/>
      <c r="Z108" s="91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  <c r="IF108" s="5"/>
      <c r="IG108" s="5"/>
      <c r="IH108" s="5"/>
      <c r="II108" s="5"/>
      <c r="IJ108" s="5"/>
      <c r="IK108" s="5"/>
      <c r="IL108" s="5"/>
      <c r="IM108" s="5"/>
      <c r="IN108" s="5"/>
      <c r="IO108" s="5"/>
      <c r="IP108" s="5"/>
      <c r="IQ108" s="5"/>
      <c r="IR108" s="5"/>
      <c r="IS108" s="5"/>
      <c r="IT108" s="5"/>
      <c r="IU108" s="5"/>
      <c r="IV108" s="5"/>
      <c r="IW108" s="5"/>
      <c r="IX108" s="5"/>
    </row>
    <row r="109" spans="1:258" ht="51" customHeight="1" x14ac:dyDescent="0.25">
      <c r="A109" s="96"/>
      <c r="B109" s="99"/>
      <c r="C109" s="102"/>
      <c r="D109" s="102"/>
      <c r="E109" s="113"/>
      <c r="F109" s="14" t="s">
        <v>36</v>
      </c>
      <c r="G109" s="13">
        <f t="shared" si="30"/>
        <v>4558500</v>
      </c>
      <c r="H109" s="13">
        <f>1350000+1350000-360000-459000</f>
        <v>1881000</v>
      </c>
      <c r="I109" s="13">
        <f>1350000-382500</f>
        <v>967500</v>
      </c>
      <c r="J109" s="13">
        <f>1350000-450000</f>
        <v>900000</v>
      </c>
      <c r="K109" s="13">
        <f>1350000-540000</f>
        <v>810000</v>
      </c>
      <c r="L109" s="13">
        <v>0</v>
      </c>
      <c r="M109" s="13">
        <v>0</v>
      </c>
      <c r="N109" s="13">
        <v>0</v>
      </c>
      <c r="O109" s="13">
        <v>0</v>
      </c>
      <c r="P109" s="120"/>
      <c r="Q109" s="93"/>
      <c r="R109" s="89"/>
      <c r="S109" s="89"/>
      <c r="T109" s="89"/>
      <c r="U109" s="89"/>
      <c r="V109" s="89"/>
      <c r="W109" s="89"/>
      <c r="X109" s="121"/>
      <c r="Y109" s="121"/>
      <c r="Z109" s="121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"/>
      <c r="ID109" s="5"/>
      <c r="IE109" s="5"/>
      <c r="IF109" s="5"/>
      <c r="IG109" s="5"/>
      <c r="IH109" s="5"/>
      <c r="II109" s="5"/>
      <c r="IJ109" s="5"/>
      <c r="IK109" s="5"/>
      <c r="IL109" s="5"/>
      <c r="IM109" s="5"/>
      <c r="IN109" s="5"/>
      <c r="IO109" s="5"/>
      <c r="IP109" s="5"/>
      <c r="IQ109" s="5"/>
      <c r="IR109" s="5"/>
      <c r="IS109" s="5"/>
      <c r="IT109" s="5"/>
      <c r="IU109" s="5"/>
      <c r="IV109" s="5"/>
      <c r="IW109" s="5"/>
      <c r="IX109" s="5"/>
    </row>
    <row r="110" spans="1:258" ht="51" customHeight="1" x14ac:dyDescent="0.25">
      <c r="A110" s="148" t="s">
        <v>108</v>
      </c>
      <c r="B110" s="134" t="s">
        <v>109</v>
      </c>
      <c r="C110" s="148" t="s">
        <v>110</v>
      </c>
      <c r="D110" s="148" t="s">
        <v>50</v>
      </c>
      <c r="E110" s="153" t="s">
        <v>111</v>
      </c>
      <c r="F110" s="14" t="s">
        <v>34</v>
      </c>
      <c r="G110" s="13">
        <f t="shared" ref="G110:G112" si="31">SUM(H110:O110)</f>
        <v>1204299.51</v>
      </c>
      <c r="H110" s="13">
        <v>0</v>
      </c>
      <c r="I110" s="13">
        <v>0</v>
      </c>
      <c r="J110" s="13">
        <f t="shared" ref="J110:O110" si="32">SUM(J111:J112)</f>
        <v>4299.51</v>
      </c>
      <c r="K110" s="15">
        <f t="shared" si="32"/>
        <v>0</v>
      </c>
      <c r="L110" s="15">
        <f t="shared" si="32"/>
        <v>400000</v>
      </c>
      <c r="M110" s="15">
        <f t="shared" si="32"/>
        <v>400000</v>
      </c>
      <c r="N110" s="13">
        <f t="shared" si="32"/>
        <v>400000</v>
      </c>
      <c r="O110" s="13">
        <f t="shared" si="32"/>
        <v>0</v>
      </c>
      <c r="P110" s="106" t="s">
        <v>112</v>
      </c>
      <c r="Q110" s="106" t="s">
        <v>55</v>
      </c>
      <c r="R110" s="106">
        <v>0</v>
      </c>
      <c r="S110" s="106">
        <v>0</v>
      </c>
      <c r="T110" s="106">
        <v>0</v>
      </c>
      <c r="U110" s="106">
        <v>0</v>
      </c>
      <c r="V110" s="106">
        <v>0</v>
      </c>
      <c r="W110" s="106">
        <v>0</v>
      </c>
      <c r="X110" s="106">
        <v>0</v>
      </c>
      <c r="Y110" s="106">
        <v>0</v>
      </c>
      <c r="Z110" s="106">
        <v>0</v>
      </c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/>
      <c r="IE110" s="5"/>
      <c r="IF110" s="5"/>
      <c r="IG110" s="5"/>
      <c r="IH110" s="5"/>
      <c r="II110" s="5"/>
      <c r="IJ110" s="5"/>
      <c r="IK110" s="5"/>
      <c r="IL110" s="5"/>
      <c r="IM110" s="5"/>
      <c r="IN110" s="5"/>
      <c r="IO110" s="5"/>
      <c r="IP110" s="5"/>
      <c r="IQ110" s="5"/>
      <c r="IR110" s="5"/>
      <c r="IS110" s="5"/>
      <c r="IT110" s="5"/>
      <c r="IU110" s="5"/>
      <c r="IV110" s="5"/>
      <c r="IW110" s="5"/>
      <c r="IX110" s="5"/>
    </row>
    <row r="111" spans="1:258" ht="51" customHeight="1" x14ac:dyDescent="0.25">
      <c r="A111" s="149"/>
      <c r="B111" s="151"/>
      <c r="C111" s="149"/>
      <c r="D111" s="149"/>
      <c r="E111" s="154"/>
      <c r="F111" s="14" t="s">
        <v>38</v>
      </c>
      <c r="G111" s="13">
        <f t="shared" si="31"/>
        <v>1204299.51</v>
      </c>
      <c r="H111" s="13">
        <v>0</v>
      </c>
      <c r="I111" s="13">
        <v>0</v>
      </c>
      <c r="J111" s="13">
        <f>665000+3946.21-664999.97+353.27</f>
        <v>4299.51</v>
      </c>
      <c r="K111" s="15">
        <f>400000-316356.98-83643.02</f>
        <v>0</v>
      </c>
      <c r="L111" s="15">
        <f>400000</f>
        <v>400000</v>
      </c>
      <c r="M111" s="15">
        <v>400000</v>
      </c>
      <c r="N111" s="13">
        <v>400000</v>
      </c>
      <c r="O111" s="13">
        <v>0</v>
      </c>
      <c r="P111" s="156"/>
      <c r="Q111" s="156"/>
      <c r="R111" s="156"/>
      <c r="S111" s="156"/>
      <c r="T111" s="156"/>
      <c r="U111" s="156"/>
      <c r="V111" s="156"/>
      <c r="W111" s="156"/>
      <c r="X111" s="156"/>
      <c r="Y111" s="156"/>
      <c r="Z111" s="156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/>
      <c r="IE111" s="5"/>
      <c r="IF111" s="5"/>
      <c r="IG111" s="5"/>
      <c r="IH111" s="5"/>
      <c r="II111" s="5"/>
      <c r="IJ111" s="5"/>
      <c r="IK111" s="5"/>
      <c r="IL111" s="5"/>
      <c r="IM111" s="5"/>
      <c r="IN111" s="5"/>
      <c r="IO111" s="5"/>
      <c r="IP111" s="5"/>
      <c r="IQ111" s="5"/>
      <c r="IR111" s="5"/>
      <c r="IS111" s="5"/>
      <c r="IT111" s="5"/>
      <c r="IU111" s="5"/>
      <c r="IV111" s="5"/>
      <c r="IW111" s="5"/>
      <c r="IX111" s="5"/>
    </row>
    <row r="112" spans="1:258" ht="51" customHeight="1" x14ac:dyDescent="0.25">
      <c r="A112" s="150"/>
      <c r="B112" s="152"/>
      <c r="C112" s="150"/>
      <c r="D112" s="150"/>
      <c r="E112" s="155"/>
      <c r="F112" s="14" t="s">
        <v>36</v>
      </c>
      <c r="G112" s="13">
        <f t="shared" si="31"/>
        <v>0</v>
      </c>
      <c r="H112" s="13">
        <v>0</v>
      </c>
      <c r="I112" s="13">
        <v>0</v>
      </c>
      <c r="J112" s="13">
        <v>0</v>
      </c>
      <c r="K112" s="15">
        <f>6010782.56-6010782.56</f>
        <v>0</v>
      </c>
      <c r="L112" s="15">
        <v>0</v>
      </c>
      <c r="M112" s="15">
        <v>0</v>
      </c>
      <c r="N112" s="13">
        <v>0</v>
      </c>
      <c r="O112" s="13">
        <v>0</v>
      </c>
      <c r="P112" s="157"/>
      <c r="Q112" s="157"/>
      <c r="R112" s="157"/>
      <c r="S112" s="157"/>
      <c r="T112" s="157"/>
      <c r="U112" s="157"/>
      <c r="V112" s="157"/>
      <c r="W112" s="157"/>
      <c r="X112" s="157"/>
      <c r="Y112" s="157"/>
      <c r="Z112" s="157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  <c r="IF112" s="5"/>
      <c r="IG112" s="5"/>
      <c r="IH112" s="5"/>
      <c r="II112" s="5"/>
      <c r="IJ112" s="5"/>
      <c r="IK112" s="5"/>
      <c r="IL112" s="5"/>
      <c r="IM112" s="5"/>
      <c r="IN112" s="5"/>
      <c r="IO112" s="5"/>
      <c r="IP112" s="5"/>
      <c r="IQ112" s="5"/>
      <c r="IR112" s="5"/>
      <c r="IS112" s="5"/>
      <c r="IT112" s="5"/>
      <c r="IU112" s="5"/>
      <c r="IV112" s="5"/>
      <c r="IW112" s="5"/>
      <c r="IX112" s="5"/>
    </row>
    <row r="113" spans="1:258" ht="51" customHeight="1" x14ac:dyDescent="0.25">
      <c r="A113" s="94" t="s">
        <v>113</v>
      </c>
      <c r="B113" s="97" t="s">
        <v>114</v>
      </c>
      <c r="C113" s="100">
        <v>2023</v>
      </c>
      <c r="D113" s="100">
        <v>2027</v>
      </c>
      <c r="E113" s="103" t="s">
        <v>111</v>
      </c>
      <c r="F113" s="24" t="s">
        <v>34</v>
      </c>
      <c r="G113" s="13">
        <f t="shared" ref="G113:G115" si="33">SUM(H113:O113)</f>
        <v>7596026.3600000003</v>
      </c>
      <c r="H113" s="15">
        <f t="shared" ref="H113:O113" si="34">SUM(H114:H115)</f>
        <v>0</v>
      </c>
      <c r="I113" s="15">
        <f t="shared" si="34"/>
        <v>0</v>
      </c>
      <c r="J113" s="15">
        <f t="shared" si="34"/>
        <v>0</v>
      </c>
      <c r="K113" s="15">
        <f t="shared" si="34"/>
        <v>1555038</v>
      </c>
      <c r="L113" s="15">
        <f t="shared" si="34"/>
        <v>3655679.5</v>
      </c>
      <c r="M113" s="15">
        <f t="shared" si="34"/>
        <v>1192654.43</v>
      </c>
      <c r="N113" s="13">
        <f t="shared" si="34"/>
        <v>1192654.43</v>
      </c>
      <c r="O113" s="13">
        <f t="shared" si="34"/>
        <v>0</v>
      </c>
      <c r="P113" s="106" t="s">
        <v>112</v>
      </c>
      <c r="Q113" s="106" t="s">
        <v>55</v>
      </c>
      <c r="R113" s="106">
        <v>3</v>
      </c>
      <c r="S113" s="106">
        <v>0</v>
      </c>
      <c r="T113" s="106">
        <v>0</v>
      </c>
      <c r="U113" s="106">
        <v>0</v>
      </c>
      <c r="V113" s="106">
        <v>0</v>
      </c>
      <c r="W113" s="106">
        <v>1</v>
      </c>
      <c r="X113" s="106">
        <v>1</v>
      </c>
      <c r="Y113" s="106">
        <v>1</v>
      </c>
      <c r="Z113" s="106">
        <v>0</v>
      </c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  <c r="IP113" s="5"/>
      <c r="IQ113" s="5"/>
      <c r="IR113" s="5"/>
      <c r="IS113" s="5"/>
      <c r="IT113" s="5"/>
      <c r="IU113" s="5"/>
      <c r="IV113" s="5"/>
      <c r="IW113" s="5"/>
      <c r="IX113" s="5"/>
    </row>
    <row r="114" spans="1:258" ht="51" customHeight="1" x14ac:dyDescent="0.25">
      <c r="A114" s="95"/>
      <c r="B114" s="98"/>
      <c r="C114" s="101"/>
      <c r="D114" s="101"/>
      <c r="E114" s="104"/>
      <c r="F114" s="14" t="s">
        <v>35</v>
      </c>
      <c r="G114" s="13">
        <f t="shared" si="33"/>
        <v>7596026.3600000003</v>
      </c>
      <c r="H114" s="13">
        <v>0</v>
      </c>
      <c r="I114" s="13">
        <v>0</v>
      </c>
      <c r="J114" s="13">
        <v>0</v>
      </c>
      <c r="K114" s="15">
        <v>1555038</v>
      </c>
      <c r="L114" s="15">
        <v>3655679.5</v>
      </c>
      <c r="M114" s="15">
        <v>1192654.43</v>
      </c>
      <c r="N114" s="13">
        <v>1192654.43</v>
      </c>
      <c r="O114" s="13">
        <f t="shared" ref="O114" si="35">SUM(O130)</f>
        <v>0</v>
      </c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  <c r="IF114" s="5"/>
      <c r="IG114" s="5"/>
      <c r="IH114" s="5"/>
      <c r="II114" s="5"/>
      <c r="IJ114" s="5"/>
      <c r="IK114" s="5"/>
      <c r="IL114" s="5"/>
      <c r="IM114" s="5"/>
      <c r="IN114" s="5"/>
      <c r="IO114" s="5"/>
      <c r="IP114" s="5"/>
      <c r="IQ114" s="5"/>
      <c r="IR114" s="5"/>
      <c r="IS114" s="5"/>
      <c r="IT114" s="5"/>
      <c r="IU114" s="5"/>
      <c r="IV114" s="5"/>
      <c r="IW114" s="5"/>
      <c r="IX114" s="5"/>
    </row>
    <row r="115" spans="1:258" ht="51" customHeight="1" x14ac:dyDescent="0.25">
      <c r="A115" s="96"/>
      <c r="B115" s="99"/>
      <c r="C115" s="102"/>
      <c r="D115" s="102"/>
      <c r="E115" s="105"/>
      <c r="F115" s="14" t="s">
        <v>36</v>
      </c>
      <c r="G115" s="13">
        <f t="shared" si="33"/>
        <v>0</v>
      </c>
      <c r="H115" s="13">
        <f>SUM(H131)</f>
        <v>0</v>
      </c>
      <c r="I115" s="13">
        <f t="shared" ref="I115:O115" si="36">SUM(I131)</f>
        <v>0</v>
      </c>
      <c r="J115" s="13">
        <f t="shared" si="36"/>
        <v>0</v>
      </c>
      <c r="K115" s="15">
        <f t="shared" si="36"/>
        <v>0</v>
      </c>
      <c r="L115" s="15">
        <f t="shared" si="36"/>
        <v>0</v>
      </c>
      <c r="M115" s="15">
        <f t="shared" si="36"/>
        <v>0</v>
      </c>
      <c r="N115" s="13">
        <f t="shared" si="36"/>
        <v>0</v>
      </c>
      <c r="O115" s="13">
        <f t="shared" si="36"/>
        <v>0</v>
      </c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  <c r="IF115" s="5"/>
      <c r="IG115" s="5"/>
      <c r="IH115" s="5"/>
      <c r="II115" s="5"/>
      <c r="IJ115" s="5"/>
      <c r="IK115" s="5"/>
      <c r="IL115" s="5"/>
      <c r="IM115" s="5"/>
      <c r="IN115" s="5"/>
      <c r="IO115" s="5"/>
      <c r="IP115" s="5"/>
      <c r="IQ115" s="5"/>
      <c r="IR115" s="5"/>
      <c r="IS115" s="5"/>
      <c r="IT115" s="5"/>
      <c r="IU115" s="5"/>
      <c r="IV115" s="5"/>
      <c r="IW115" s="5"/>
      <c r="IX115" s="5"/>
    </row>
    <row r="116" spans="1:258" ht="117" customHeight="1" x14ac:dyDescent="0.25">
      <c r="A116" s="200" t="s">
        <v>115</v>
      </c>
      <c r="B116" s="201"/>
      <c r="C116" s="36">
        <v>2020</v>
      </c>
      <c r="D116" s="36">
        <v>2027</v>
      </c>
      <c r="E116" s="33" t="s">
        <v>37</v>
      </c>
      <c r="F116" s="36" t="s">
        <v>37</v>
      </c>
      <c r="G116" s="37" t="s">
        <v>37</v>
      </c>
      <c r="H116" s="37" t="s">
        <v>37</v>
      </c>
      <c r="I116" s="37" t="s">
        <v>37</v>
      </c>
      <c r="J116" s="37" t="s">
        <v>37</v>
      </c>
      <c r="K116" s="37" t="s">
        <v>37</v>
      </c>
      <c r="L116" s="37" t="s">
        <v>37</v>
      </c>
      <c r="M116" s="37" t="s">
        <v>37</v>
      </c>
      <c r="N116" s="37" t="s">
        <v>37</v>
      </c>
      <c r="O116" s="37"/>
      <c r="P116" s="36" t="s">
        <v>37</v>
      </c>
      <c r="Q116" s="36" t="s">
        <v>37</v>
      </c>
      <c r="R116" s="38" t="s">
        <v>37</v>
      </c>
      <c r="S116" s="38" t="s">
        <v>37</v>
      </c>
      <c r="T116" s="38" t="s">
        <v>37</v>
      </c>
      <c r="U116" s="38" t="s">
        <v>37</v>
      </c>
      <c r="V116" s="38" t="s">
        <v>37</v>
      </c>
      <c r="W116" s="38" t="s">
        <v>37</v>
      </c>
      <c r="X116" s="38" t="s">
        <v>37</v>
      </c>
      <c r="Y116" s="38" t="s">
        <v>37</v>
      </c>
      <c r="Z116" s="38" t="s">
        <v>37</v>
      </c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  <c r="IF116" s="5"/>
      <c r="IG116" s="5"/>
      <c r="IH116" s="5"/>
      <c r="II116" s="5"/>
      <c r="IJ116" s="5"/>
      <c r="IK116" s="5"/>
      <c r="IL116" s="5"/>
      <c r="IM116" s="5"/>
      <c r="IN116" s="5"/>
      <c r="IO116" s="5"/>
      <c r="IP116" s="5"/>
      <c r="IQ116" s="5"/>
      <c r="IR116" s="5"/>
      <c r="IS116" s="5"/>
      <c r="IT116" s="5"/>
      <c r="IU116" s="5"/>
      <c r="IV116" s="5"/>
      <c r="IW116" s="5"/>
      <c r="IX116" s="5"/>
    </row>
    <row r="117" spans="1:258" ht="124.5" customHeight="1" x14ac:dyDescent="0.25">
      <c r="A117" s="84" t="s">
        <v>116</v>
      </c>
      <c r="B117" s="85"/>
      <c r="C117" s="39">
        <v>2020</v>
      </c>
      <c r="D117" s="39">
        <v>2027</v>
      </c>
      <c r="E117" s="35" t="s">
        <v>37</v>
      </c>
      <c r="F117" s="35" t="s">
        <v>37</v>
      </c>
      <c r="G117" s="40" t="s">
        <v>37</v>
      </c>
      <c r="H117" s="40" t="s">
        <v>37</v>
      </c>
      <c r="I117" s="40" t="s">
        <v>37</v>
      </c>
      <c r="J117" s="40" t="s">
        <v>37</v>
      </c>
      <c r="K117" s="40" t="s">
        <v>37</v>
      </c>
      <c r="L117" s="40" t="s">
        <v>37</v>
      </c>
      <c r="M117" s="40" t="s">
        <v>37</v>
      </c>
      <c r="N117" s="40" t="s">
        <v>37</v>
      </c>
      <c r="O117" s="40"/>
      <c r="P117" s="35" t="s">
        <v>37</v>
      </c>
      <c r="Q117" s="35" t="s">
        <v>37</v>
      </c>
      <c r="R117" s="56" t="s">
        <v>37</v>
      </c>
      <c r="S117" s="56" t="s">
        <v>37</v>
      </c>
      <c r="T117" s="56" t="s">
        <v>37</v>
      </c>
      <c r="U117" s="56" t="s">
        <v>37</v>
      </c>
      <c r="V117" s="56" t="s">
        <v>37</v>
      </c>
      <c r="W117" s="56" t="s">
        <v>37</v>
      </c>
      <c r="X117" s="56" t="s">
        <v>37</v>
      </c>
      <c r="Y117" s="34" t="s">
        <v>37</v>
      </c>
      <c r="Z117" s="34" t="s">
        <v>37</v>
      </c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HR117" s="5"/>
      <c r="HS117" s="5"/>
      <c r="HT117" s="5"/>
      <c r="HU117" s="5"/>
      <c r="HV117" s="5"/>
      <c r="HW117" s="5"/>
      <c r="HX117" s="5"/>
      <c r="HY117" s="5"/>
      <c r="HZ117" s="5"/>
      <c r="IA117" s="5"/>
      <c r="IB117" s="5"/>
      <c r="IC117" s="5"/>
      <c r="ID117" s="5"/>
      <c r="IE117" s="5"/>
      <c r="IF117" s="5"/>
      <c r="IG117" s="5"/>
      <c r="IH117" s="5"/>
      <c r="II117" s="5"/>
      <c r="IJ117" s="5"/>
      <c r="IK117" s="5"/>
      <c r="IL117" s="5"/>
      <c r="IM117" s="5"/>
      <c r="IN117" s="5"/>
      <c r="IO117" s="5"/>
      <c r="IP117" s="5"/>
      <c r="IQ117" s="5"/>
      <c r="IR117" s="5"/>
      <c r="IS117" s="5"/>
      <c r="IT117" s="5"/>
      <c r="IU117" s="5"/>
      <c r="IV117" s="5"/>
      <c r="IW117" s="5"/>
      <c r="IX117" s="5"/>
    </row>
    <row r="118" spans="1:258" ht="51" customHeight="1" x14ac:dyDescent="0.25">
      <c r="A118" s="160" t="s">
        <v>117</v>
      </c>
      <c r="B118" s="162" t="s">
        <v>118</v>
      </c>
      <c r="C118" s="103">
        <v>2020</v>
      </c>
      <c r="D118" s="103">
        <v>2027</v>
      </c>
      <c r="E118" s="108" t="s">
        <v>119</v>
      </c>
      <c r="F118" s="41" t="s">
        <v>34</v>
      </c>
      <c r="G118" s="10">
        <f t="shared" ref="G118:G120" si="37">SUM(H118:O118)</f>
        <v>1447103.5</v>
      </c>
      <c r="H118" s="10">
        <f t="shared" ref="H118:N118" si="38">SUM(H119:H120)</f>
        <v>49702</v>
      </c>
      <c r="I118" s="10">
        <f t="shared" si="38"/>
        <v>54260</v>
      </c>
      <c r="J118" s="10">
        <f t="shared" si="38"/>
        <v>68800</v>
      </c>
      <c r="K118" s="30">
        <f t="shared" si="38"/>
        <v>89500</v>
      </c>
      <c r="L118" s="30">
        <f t="shared" si="38"/>
        <v>390641</v>
      </c>
      <c r="M118" s="30">
        <f t="shared" si="38"/>
        <v>376480</v>
      </c>
      <c r="N118" s="10">
        <f t="shared" si="38"/>
        <v>371720.5</v>
      </c>
      <c r="O118" s="10">
        <f>SUM(O119:O120)</f>
        <v>46000</v>
      </c>
      <c r="P118" s="104" t="s">
        <v>120</v>
      </c>
      <c r="Q118" s="203" t="s">
        <v>121</v>
      </c>
      <c r="R118" s="158">
        <v>48</v>
      </c>
      <c r="S118" s="158">
        <v>51.5</v>
      </c>
      <c r="T118" s="158">
        <v>51</v>
      </c>
      <c r="U118" s="158">
        <v>200</v>
      </c>
      <c r="V118" s="158">
        <v>50</v>
      </c>
      <c r="W118" s="158">
        <v>47.1</v>
      </c>
      <c r="X118" s="158">
        <v>49</v>
      </c>
      <c r="Y118" s="158">
        <v>48.5</v>
      </c>
      <c r="Z118" s="158">
        <v>48</v>
      </c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HR118" s="5"/>
      <c r="HS118" s="5"/>
      <c r="HT118" s="5"/>
      <c r="HU118" s="5"/>
      <c r="HV118" s="5"/>
      <c r="HW118" s="5"/>
      <c r="HX118" s="5"/>
      <c r="HY118" s="5"/>
      <c r="HZ118" s="5"/>
      <c r="IA118" s="5"/>
      <c r="IB118" s="5"/>
      <c r="IC118" s="5"/>
      <c r="ID118" s="5"/>
      <c r="IE118" s="5"/>
      <c r="IF118" s="5"/>
      <c r="IG118" s="5"/>
      <c r="IH118" s="5"/>
      <c r="II118" s="5"/>
      <c r="IJ118" s="5"/>
      <c r="IK118" s="5"/>
      <c r="IL118" s="5"/>
      <c r="IM118" s="5"/>
      <c r="IN118" s="5"/>
      <c r="IO118" s="5"/>
      <c r="IP118" s="5"/>
      <c r="IQ118" s="5"/>
      <c r="IR118" s="5"/>
      <c r="IS118" s="5"/>
      <c r="IT118" s="5"/>
      <c r="IU118" s="5"/>
      <c r="IV118" s="5"/>
      <c r="IW118" s="5"/>
      <c r="IX118" s="5"/>
    </row>
    <row r="119" spans="1:258" ht="51" customHeight="1" x14ac:dyDescent="0.25">
      <c r="A119" s="161"/>
      <c r="B119" s="168"/>
      <c r="C119" s="104"/>
      <c r="D119" s="104"/>
      <c r="E119" s="202"/>
      <c r="F119" s="41" t="s">
        <v>38</v>
      </c>
      <c r="G119" s="10">
        <f>SUM(H119:O119)</f>
        <v>1447103.5</v>
      </c>
      <c r="H119" s="10">
        <f>46000+7420-3718</f>
        <v>49702</v>
      </c>
      <c r="I119" s="10">
        <f>46000+9580-1320</f>
        <v>54260</v>
      </c>
      <c r="J119" s="10">
        <f>369400-300600</f>
        <v>68800</v>
      </c>
      <c r="K119" s="30">
        <v>89500</v>
      </c>
      <c r="L119" s="30">
        <v>390641</v>
      </c>
      <c r="M119" s="30">
        <v>376480</v>
      </c>
      <c r="N119" s="10">
        <v>371720.5</v>
      </c>
      <c r="O119" s="10">
        <v>46000</v>
      </c>
      <c r="P119" s="104"/>
      <c r="Q119" s="203"/>
      <c r="R119" s="158"/>
      <c r="S119" s="158"/>
      <c r="T119" s="158"/>
      <c r="U119" s="158"/>
      <c r="V119" s="158"/>
      <c r="W119" s="158"/>
      <c r="X119" s="158"/>
      <c r="Y119" s="158"/>
      <c r="Z119" s="158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  <c r="IF119" s="5"/>
      <c r="IG119" s="5"/>
      <c r="IH119" s="5"/>
      <c r="II119" s="5"/>
      <c r="IJ119" s="5"/>
      <c r="IK119" s="5"/>
      <c r="IL119" s="5"/>
      <c r="IM119" s="5"/>
      <c r="IN119" s="5"/>
      <c r="IO119" s="5"/>
      <c r="IP119" s="5"/>
      <c r="IQ119" s="5"/>
      <c r="IR119" s="5"/>
      <c r="IS119" s="5"/>
      <c r="IT119" s="5"/>
      <c r="IU119" s="5"/>
      <c r="IV119" s="5"/>
      <c r="IW119" s="5"/>
      <c r="IX119" s="5"/>
    </row>
    <row r="120" spans="1:258" ht="51" customHeight="1" x14ac:dyDescent="0.25">
      <c r="A120" s="161"/>
      <c r="B120" s="168"/>
      <c r="C120" s="104"/>
      <c r="D120" s="104"/>
      <c r="E120" s="202"/>
      <c r="F120" s="41" t="s">
        <v>39</v>
      </c>
      <c r="G120" s="10">
        <f t="shared" si="37"/>
        <v>0</v>
      </c>
      <c r="H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5"/>
      <c r="Q120" s="204"/>
      <c r="R120" s="159"/>
      <c r="S120" s="159"/>
      <c r="T120" s="159"/>
      <c r="U120" s="159"/>
      <c r="V120" s="159"/>
      <c r="W120" s="159"/>
      <c r="X120" s="159"/>
      <c r="Y120" s="159"/>
      <c r="Z120" s="159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  <c r="IP120" s="5"/>
      <c r="IQ120" s="5"/>
      <c r="IR120" s="5"/>
      <c r="IS120" s="5"/>
      <c r="IT120" s="5"/>
      <c r="IU120" s="5"/>
      <c r="IV120" s="5"/>
      <c r="IW120" s="5"/>
      <c r="IX120" s="5"/>
    </row>
    <row r="121" spans="1:258" ht="37.5" customHeight="1" x14ac:dyDescent="0.25">
      <c r="A121" s="160" t="s">
        <v>90</v>
      </c>
      <c r="B121" s="162" t="s">
        <v>122</v>
      </c>
      <c r="C121" s="103">
        <v>2020</v>
      </c>
      <c r="D121" s="103">
        <v>2027</v>
      </c>
      <c r="E121" s="81" t="s">
        <v>123</v>
      </c>
      <c r="F121" s="41" t="s">
        <v>34</v>
      </c>
      <c r="G121" s="10">
        <f t="shared" ref="G121:G127" si="39">SUM(H121:O121)</f>
        <v>630114.01</v>
      </c>
      <c r="H121" s="10">
        <f t="shared" ref="H121:M121" si="40">SUM(H122:H124)</f>
        <v>38470</v>
      </c>
      <c r="I121" s="10">
        <f t="shared" si="40"/>
        <v>215379.01</v>
      </c>
      <c r="J121" s="10">
        <f t="shared" si="40"/>
        <v>23305</v>
      </c>
      <c r="K121" s="10">
        <f t="shared" si="40"/>
        <v>37299</v>
      </c>
      <c r="L121" s="10">
        <f t="shared" si="40"/>
        <v>300000</v>
      </c>
      <c r="M121" s="10">
        <f t="shared" si="40"/>
        <v>15661</v>
      </c>
      <c r="N121" s="10">
        <v>0</v>
      </c>
      <c r="O121" s="10">
        <v>0</v>
      </c>
      <c r="P121" s="103" t="s">
        <v>124</v>
      </c>
      <c r="Q121" s="165" t="s">
        <v>55</v>
      </c>
      <c r="R121" s="165">
        <f>SUM(S121:Z124)</f>
        <v>13</v>
      </c>
      <c r="S121" s="165">
        <v>1</v>
      </c>
      <c r="T121" s="165">
        <v>1</v>
      </c>
      <c r="U121" s="165">
        <v>1</v>
      </c>
      <c r="V121" s="165">
        <v>1</v>
      </c>
      <c r="W121" s="165">
        <v>6</v>
      </c>
      <c r="X121" s="165">
        <v>1</v>
      </c>
      <c r="Y121" s="165">
        <v>1</v>
      </c>
      <c r="Z121" s="165">
        <v>1</v>
      </c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  <c r="IF121" s="5"/>
      <c r="IG121" s="5"/>
      <c r="IH121" s="5"/>
      <c r="II121" s="5"/>
      <c r="IJ121" s="5"/>
      <c r="IK121" s="5"/>
      <c r="IL121" s="5"/>
      <c r="IM121" s="5"/>
      <c r="IN121" s="5"/>
      <c r="IO121" s="5"/>
      <c r="IP121" s="5"/>
      <c r="IQ121" s="5"/>
      <c r="IR121" s="5"/>
      <c r="IS121" s="5"/>
      <c r="IT121" s="5"/>
      <c r="IU121" s="5"/>
      <c r="IV121" s="5"/>
      <c r="IW121" s="5"/>
      <c r="IX121" s="5"/>
    </row>
    <row r="122" spans="1:258" ht="51" customHeight="1" x14ac:dyDescent="0.25">
      <c r="A122" s="161"/>
      <c r="B122" s="163"/>
      <c r="C122" s="62"/>
      <c r="D122" s="62"/>
      <c r="E122" s="81"/>
      <c r="F122" s="41" t="s">
        <v>38</v>
      </c>
      <c r="G122" s="10">
        <f t="shared" si="39"/>
        <v>490221.01</v>
      </c>
      <c r="H122" s="10">
        <v>0</v>
      </c>
      <c r="I122" s="10">
        <f>200000-7925.99</f>
        <v>192074.01</v>
      </c>
      <c r="J122" s="10">
        <f>0.03-0.03</f>
        <v>0</v>
      </c>
      <c r="K122" s="10">
        <f>11008+2800</f>
        <v>13808</v>
      </c>
      <c r="L122" s="10">
        <v>284339</v>
      </c>
      <c r="M122" s="10">
        <v>0</v>
      </c>
      <c r="N122" s="10">
        <v>0</v>
      </c>
      <c r="O122" s="10">
        <v>0</v>
      </c>
      <c r="P122" s="145"/>
      <c r="Q122" s="62"/>
      <c r="R122" s="166"/>
      <c r="S122" s="166"/>
      <c r="T122" s="166"/>
      <c r="U122" s="166"/>
      <c r="V122" s="166"/>
      <c r="W122" s="166"/>
      <c r="X122" s="166"/>
      <c r="Y122" s="166"/>
      <c r="Z122" s="166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  <c r="IF122" s="5"/>
      <c r="IG122" s="5"/>
      <c r="IH122" s="5"/>
      <c r="II122" s="5"/>
      <c r="IJ122" s="5"/>
      <c r="IK122" s="5"/>
      <c r="IL122" s="5"/>
      <c r="IM122" s="5"/>
      <c r="IN122" s="5"/>
      <c r="IO122" s="5"/>
      <c r="IP122" s="5"/>
      <c r="IQ122" s="5"/>
      <c r="IR122" s="5"/>
      <c r="IS122" s="5"/>
      <c r="IT122" s="5"/>
      <c r="IU122" s="5"/>
      <c r="IV122" s="5"/>
      <c r="IW122" s="5"/>
      <c r="IX122" s="5"/>
    </row>
    <row r="123" spans="1:258" ht="51" customHeight="1" x14ac:dyDescent="0.25">
      <c r="A123" s="161"/>
      <c r="B123" s="163"/>
      <c r="C123" s="62"/>
      <c r="D123" s="62"/>
      <c r="E123" s="81"/>
      <c r="F123" s="41" t="s">
        <v>39</v>
      </c>
      <c r="G123" s="10">
        <f t="shared" si="39"/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45"/>
      <c r="Q123" s="62"/>
      <c r="R123" s="166"/>
      <c r="S123" s="166"/>
      <c r="T123" s="166"/>
      <c r="U123" s="166"/>
      <c r="V123" s="166"/>
      <c r="W123" s="166"/>
      <c r="X123" s="166"/>
      <c r="Y123" s="166"/>
      <c r="Z123" s="166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  <c r="IF123" s="5"/>
      <c r="IG123" s="5"/>
      <c r="IH123" s="5"/>
      <c r="II123" s="5"/>
      <c r="IJ123" s="5"/>
      <c r="IK123" s="5"/>
      <c r="IL123" s="5"/>
      <c r="IM123" s="5"/>
      <c r="IN123" s="5"/>
      <c r="IO123" s="5"/>
      <c r="IP123" s="5"/>
      <c r="IQ123" s="5"/>
      <c r="IR123" s="5"/>
      <c r="IS123" s="5"/>
      <c r="IT123" s="5"/>
      <c r="IU123" s="5"/>
      <c r="IV123" s="5"/>
      <c r="IW123" s="5"/>
      <c r="IX123" s="5"/>
    </row>
    <row r="124" spans="1:258" ht="51" customHeight="1" x14ac:dyDescent="0.25">
      <c r="A124" s="63"/>
      <c r="B124" s="147"/>
      <c r="C124" s="63"/>
      <c r="D124" s="63"/>
      <c r="E124" s="164"/>
      <c r="F124" s="41" t="s">
        <v>80</v>
      </c>
      <c r="G124" s="10">
        <f t="shared" si="39"/>
        <v>139893</v>
      </c>
      <c r="H124" s="10">
        <v>38470</v>
      </c>
      <c r="I124" s="10">
        <f>15388+7917</f>
        <v>23305</v>
      </c>
      <c r="J124" s="10">
        <f>23305</f>
        <v>23305</v>
      </c>
      <c r="K124" s="10">
        <v>23491</v>
      </c>
      <c r="L124" s="10">
        <f>15661</f>
        <v>15661</v>
      </c>
      <c r="M124" s="10">
        <v>15661</v>
      </c>
      <c r="N124" s="10">
        <v>0</v>
      </c>
      <c r="O124" s="10">
        <v>0</v>
      </c>
      <c r="P124" s="146"/>
      <c r="Q124" s="63"/>
      <c r="R124" s="167"/>
      <c r="S124" s="167"/>
      <c r="T124" s="167"/>
      <c r="U124" s="167"/>
      <c r="V124" s="167"/>
      <c r="W124" s="167"/>
      <c r="X124" s="167"/>
      <c r="Y124" s="167"/>
      <c r="Z124" s="167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/>
      <c r="IE124" s="5"/>
      <c r="IF124" s="5"/>
      <c r="IG124" s="5"/>
      <c r="IH124" s="5"/>
      <c r="II124" s="5"/>
      <c r="IJ124" s="5"/>
      <c r="IK124" s="5"/>
      <c r="IL124" s="5"/>
      <c r="IM124" s="5"/>
      <c r="IN124" s="5"/>
      <c r="IO124" s="5"/>
      <c r="IP124" s="5"/>
      <c r="IQ124" s="5"/>
      <c r="IR124" s="5"/>
      <c r="IS124" s="5"/>
      <c r="IT124" s="5"/>
      <c r="IU124" s="5"/>
      <c r="IV124" s="5"/>
      <c r="IW124" s="5"/>
      <c r="IX124" s="5"/>
    </row>
    <row r="125" spans="1:258" ht="36" customHeight="1" x14ac:dyDescent="0.25">
      <c r="A125" s="169" t="s">
        <v>125</v>
      </c>
      <c r="B125" s="170" t="s">
        <v>126</v>
      </c>
      <c r="C125" s="81">
        <v>2021</v>
      </c>
      <c r="D125" s="81">
        <v>2027</v>
      </c>
      <c r="E125" s="81" t="s">
        <v>127</v>
      </c>
      <c r="F125" s="41" t="s">
        <v>34</v>
      </c>
      <c r="G125" s="10">
        <f t="shared" si="39"/>
        <v>1262928.7</v>
      </c>
      <c r="H125" s="10">
        <v>0</v>
      </c>
      <c r="I125" s="10">
        <f>SUM(I126:I127)</f>
        <v>262928.7</v>
      </c>
      <c r="J125" s="10">
        <f t="shared" ref="J125:L125" si="41">SUM(J126:J127)</f>
        <v>0</v>
      </c>
      <c r="K125" s="10">
        <f t="shared" si="41"/>
        <v>0</v>
      </c>
      <c r="L125" s="10">
        <f t="shared" si="41"/>
        <v>1000000</v>
      </c>
      <c r="M125" s="10">
        <v>0</v>
      </c>
      <c r="N125" s="10">
        <v>0</v>
      </c>
      <c r="O125" s="10">
        <v>0</v>
      </c>
      <c r="P125" s="32" t="s">
        <v>128</v>
      </c>
      <c r="Q125" s="32" t="s">
        <v>129</v>
      </c>
      <c r="R125" s="32">
        <v>100</v>
      </c>
      <c r="S125" s="32">
        <v>0</v>
      </c>
      <c r="T125" s="32">
        <v>100</v>
      </c>
      <c r="U125" s="32">
        <v>0</v>
      </c>
      <c r="V125" s="32">
        <v>0</v>
      </c>
      <c r="W125" s="32">
        <v>0</v>
      </c>
      <c r="X125" s="32">
        <v>0</v>
      </c>
      <c r="Y125" s="32">
        <v>0</v>
      </c>
      <c r="Z125" s="32">
        <v>0</v>
      </c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/>
      <c r="IE125" s="5"/>
      <c r="IF125" s="5"/>
      <c r="IG125" s="5"/>
      <c r="IH125" s="5"/>
      <c r="II125" s="5"/>
      <c r="IJ125" s="5"/>
      <c r="IK125" s="5"/>
      <c r="IL125" s="5"/>
      <c r="IM125" s="5"/>
      <c r="IN125" s="5"/>
      <c r="IO125" s="5"/>
      <c r="IP125" s="5"/>
      <c r="IQ125" s="5"/>
      <c r="IR125" s="5"/>
      <c r="IS125" s="5"/>
      <c r="IT125" s="5"/>
      <c r="IU125" s="5"/>
      <c r="IV125" s="5"/>
      <c r="IW125" s="5"/>
      <c r="IX125" s="5"/>
    </row>
    <row r="126" spans="1:258" ht="51" customHeight="1" x14ac:dyDescent="0.25">
      <c r="A126" s="169"/>
      <c r="B126" s="170"/>
      <c r="C126" s="81"/>
      <c r="D126" s="81"/>
      <c r="E126" s="133"/>
      <c r="F126" s="41" t="s">
        <v>38</v>
      </c>
      <c r="G126" s="10">
        <f t="shared" si="39"/>
        <v>262928.7</v>
      </c>
      <c r="H126" s="10">
        <v>0</v>
      </c>
      <c r="I126" s="10">
        <f>117072+145856.7</f>
        <v>262928.7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56" t="s">
        <v>131</v>
      </c>
      <c r="Q126" s="104" t="s">
        <v>55</v>
      </c>
      <c r="R126" s="104">
        <v>2</v>
      </c>
      <c r="S126" s="104">
        <v>0</v>
      </c>
      <c r="T126" s="104">
        <v>0</v>
      </c>
      <c r="U126" s="104">
        <v>0</v>
      </c>
      <c r="V126" s="104">
        <v>0</v>
      </c>
      <c r="W126" s="104">
        <v>2</v>
      </c>
      <c r="X126" s="104">
        <v>0</v>
      </c>
      <c r="Y126" s="104">
        <v>0</v>
      </c>
      <c r="Z126" s="104">
        <v>0</v>
      </c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  <c r="IF126" s="5"/>
      <c r="IG126" s="5"/>
      <c r="IH126" s="5"/>
      <c r="II126" s="5"/>
      <c r="IJ126" s="5"/>
      <c r="IK126" s="5"/>
      <c r="IL126" s="5"/>
      <c r="IM126" s="5"/>
      <c r="IN126" s="5"/>
      <c r="IO126" s="5"/>
      <c r="IP126" s="5"/>
      <c r="IQ126" s="5"/>
      <c r="IR126" s="5"/>
      <c r="IS126" s="5"/>
      <c r="IT126" s="5"/>
      <c r="IU126" s="5"/>
      <c r="IV126" s="5"/>
      <c r="IW126" s="5"/>
      <c r="IX126" s="5"/>
    </row>
    <row r="127" spans="1:258" ht="51" customHeight="1" x14ac:dyDescent="0.25">
      <c r="A127" s="169"/>
      <c r="B127" s="170"/>
      <c r="C127" s="81"/>
      <c r="D127" s="81"/>
      <c r="E127" s="133"/>
      <c r="F127" s="41" t="s">
        <v>39</v>
      </c>
      <c r="G127" s="10">
        <f t="shared" si="39"/>
        <v>1000000</v>
      </c>
      <c r="H127" s="10">
        <v>0</v>
      </c>
      <c r="I127" s="10">
        <v>0</v>
      </c>
      <c r="J127" s="10">
        <v>0</v>
      </c>
      <c r="K127" s="10">
        <v>0</v>
      </c>
      <c r="L127" s="10">
        <v>1000000</v>
      </c>
      <c r="M127" s="10">
        <v>0</v>
      </c>
      <c r="N127" s="10">
        <v>0</v>
      </c>
      <c r="O127" s="10">
        <v>0</v>
      </c>
      <c r="P127" s="199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  <c r="IF127" s="5"/>
      <c r="IG127" s="5"/>
      <c r="IH127" s="5"/>
      <c r="II127" s="5"/>
      <c r="IJ127" s="5"/>
      <c r="IK127" s="5"/>
      <c r="IL127" s="5"/>
      <c r="IM127" s="5"/>
      <c r="IN127" s="5"/>
      <c r="IO127" s="5"/>
      <c r="IP127" s="5"/>
      <c r="IQ127" s="5"/>
      <c r="IR127" s="5"/>
      <c r="IS127" s="5"/>
      <c r="IT127" s="5"/>
      <c r="IU127" s="5"/>
      <c r="IV127" s="5"/>
      <c r="IW127" s="5"/>
      <c r="IX127" s="5"/>
    </row>
    <row r="128" spans="1:258" ht="154.5" customHeight="1" x14ac:dyDescent="0.25">
      <c r="A128" s="84" t="s">
        <v>67</v>
      </c>
      <c r="B128" s="85"/>
      <c r="C128" s="11">
        <v>2020</v>
      </c>
      <c r="D128" s="11">
        <v>2027</v>
      </c>
      <c r="E128" s="17" t="s">
        <v>37</v>
      </c>
      <c r="F128" s="9" t="s">
        <v>37</v>
      </c>
      <c r="G128" s="10" t="s">
        <v>37</v>
      </c>
      <c r="H128" s="10" t="s">
        <v>37</v>
      </c>
      <c r="I128" s="10" t="s">
        <v>37</v>
      </c>
      <c r="J128" s="10" t="s">
        <v>37</v>
      </c>
      <c r="K128" s="10" t="s">
        <v>37</v>
      </c>
      <c r="L128" s="10" t="s">
        <v>37</v>
      </c>
      <c r="M128" s="10" t="s">
        <v>37</v>
      </c>
      <c r="N128" s="10" t="s">
        <v>37</v>
      </c>
      <c r="O128" s="10" t="s">
        <v>37</v>
      </c>
      <c r="P128" s="9" t="s">
        <v>37</v>
      </c>
      <c r="Q128" s="16" t="s">
        <v>37</v>
      </c>
      <c r="R128" s="16" t="s">
        <v>37</v>
      </c>
      <c r="S128" s="16" t="s">
        <v>37</v>
      </c>
      <c r="T128" s="16" t="s">
        <v>37</v>
      </c>
      <c r="U128" s="16" t="s">
        <v>37</v>
      </c>
      <c r="V128" s="31" t="s">
        <v>37</v>
      </c>
      <c r="W128" s="16" t="s">
        <v>37</v>
      </c>
      <c r="X128" s="16" t="s">
        <v>37</v>
      </c>
      <c r="Y128" s="16" t="s">
        <v>37</v>
      </c>
      <c r="Z128" s="16" t="s">
        <v>37</v>
      </c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  <c r="IF128" s="5"/>
      <c r="IG128" s="5"/>
      <c r="IH128" s="5"/>
      <c r="II128" s="5"/>
      <c r="IJ128" s="5"/>
      <c r="IK128" s="5"/>
      <c r="IL128" s="5"/>
      <c r="IM128" s="5"/>
      <c r="IN128" s="5"/>
      <c r="IO128" s="5"/>
      <c r="IP128" s="5"/>
      <c r="IQ128" s="5"/>
      <c r="IR128" s="5"/>
      <c r="IS128" s="5"/>
      <c r="IT128" s="5"/>
      <c r="IU128" s="5"/>
      <c r="IV128" s="5"/>
      <c r="IW128" s="5"/>
      <c r="IX128" s="5"/>
    </row>
    <row r="129" spans="1:258" ht="75" customHeight="1" x14ac:dyDescent="0.25">
      <c r="A129" s="84" t="s">
        <v>68</v>
      </c>
      <c r="B129" s="85"/>
      <c r="C129" s="11">
        <v>2020</v>
      </c>
      <c r="D129" s="11">
        <v>2027</v>
      </c>
      <c r="E129" s="17" t="s">
        <v>37</v>
      </c>
      <c r="F129" s="9" t="s">
        <v>37</v>
      </c>
      <c r="G129" s="10" t="s">
        <v>37</v>
      </c>
      <c r="H129" s="10" t="s">
        <v>37</v>
      </c>
      <c r="I129" s="10" t="s">
        <v>37</v>
      </c>
      <c r="J129" s="10" t="s">
        <v>37</v>
      </c>
      <c r="K129" s="10" t="s">
        <v>37</v>
      </c>
      <c r="L129" s="10" t="s">
        <v>37</v>
      </c>
      <c r="M129" s="10" t="s">
        <v>37</v>
      </c>
      <c r="N129" s="10" t="s">
        <v>37</v>
      </c>
      <c r="O129" s="10" t="s">
        <v>37</v>
      </c>
      <c r="P129" s="9" t="s">
        <v>37</v>
      </c>
      <c r="Q129" s="16" t="s">
        <v>37</v>
      </c>
      <c r="R129" s="16" t="s">
        <v>37</v>
      </c>
      <c r="S129" s="16" t="s">
        <v>37</v>
      </c>
      <c r="T129" s="16" t="s">
        <v>37</v>
      </c>
      <c r="U129" s="16" t="s">
        <v>37</v>
      </c>
      <c r="V129" s="31" t="s">
        <v>37</v>
      </c>
      <c r="W129" s="16" t="s">
        <v>37</v>
      </c>
      <c r="X129" s="16" t="s">
        <v>37</v>
      </c>
      <c r="Y129" s="16" t="s">
        <v>37</v>
      </c>
      <c r="Z129" s="16" t="s">
        <v>37</v>
      </c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  <c r="IF129" s="5"/>
      <c r="IG129" s="5"/>
      <c r="IH129" s="5"/>
      <c r="II129" s="5"/>
      <c r="IJ129" s="5"/>
      <c r="IK129" s="5"/>
      <c r="IL129" s="5"/>
      <c r="IM129" s="5"/>
      <c r="IN129" s="5"/>
      <c r="IO129" s="5"/>
      <c r="IP129" s="5"/>
      <c r="IQ129" s="5"/>
      <c r="IR129" s="5"/>
      <c r="IS129" s="5"/>
      <c r="IT129" s="5"/>
      <c r="IU129" s="5"/>
      <c r="IV129" s="5"/>
      <c r="IW129" s="5"/>
      <c r="IX129" s="5"/>
    </row>
    <row r="130" spans="1:258" ht="37.5" customHeight="1" x14ac:dyDescent="0.25">
      <c r="A130" s="122" t="s">
        <v>48</v>
      </c>
      <c r="B130" s="138" t="s">
        <v>69</v>
      </c>
      <c r="C130" s="122" t="s">
        <v>70</v>
      </c>
      <c r="D130" s="122" t="s">
        <v>71</v>
      </c>
      <c r="E130" s="122" t="s">
        <v>42</v>
      </c>
      <c r="F130" s="25" t="s">
        <v>34</v>
      </c>
      <c r="G130" s="10">
        <f t="shared" ref="G130:G132" si="42">SUM(H130:O130)</f>
        <v>0</v>
      </c>
      <c r="H130" s="26">
        <f>SUM(H131:H132)</f>
        <v>0</v>
      </c>
      <c r="I130" s="26">
        <f>SUM(I131:I132)</f>
        <v>0</v>
      </c>
      <c r="J130" s="26">
        <f>SUM(J131:J132)</f>
        <v>0</v>
      </c>
      <c r="K130" s="26">
        <f>SUM(K131:K132)</f>
        <v>0</v>
      </c>
      <c r="L130" s="26">
        <f>SUM(L131:L132)</f>
        <v>0</v>
      </c>
      <c r="M130" s="26">
        <v>0</v>
      </c>
      <c r="N130" s="10">
        <v>0</v>
      </c>
      <c r="O130" s="27">
        <v>0</v>
      </c>
      <c r="P130" s="108" t="s">
        <v>72</v>
      </c>
      <c r="Q130" s="108" t="s">
        <v>73</v>
      </c>
      <c r="R130" s="108">
        <f>SUM(S130:X132)</f>
        <v>0.2</v>
      </c>
      <c r="S130" s="108">
        <v>0</v>
      </c>
      <c r="T130" s="108">
        <v>0</v>
      </c>
      <c r="U130" s="108">
        <v>0</v>
      </c>
      <c r="V130" s="108">
        <v>0</v>
      </c>
      <c r="W130" s="108">
        <v>0</v>
      </c>
      <c r="X130" s="108">
        <v>0.2</v>
      </c>
      <c r="Y130" s="108">
        <v>0</v>
      </c>
      <c r="Z130" s="108">
        <v>0</v>
      </c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  <c r="II130" s="5"/>
      <c r="IJ130" s="5"/>
      <c r="IK130" s="5"/>
      <c r="IL130" s="5"/>
      <c r="IM130" s="5"/>
      <c r="IN130" s="5"/>
      <c r="IO130" s="5"/>
      <c r="IP130" s="5"/>
      <c r="IQ130" s="5"/>
      <c r="IR130" s="5"/>
      <c r="IS130" s="5"/>
      <c r="IT130" s="5"/>
      <c r="IU130" s="5"/>
      <c r="IV130" s="5"/>
      <c r="IW130" s="5"/>
      <c r="IX130" s="5"/>
    </row>
    <row r="131" spans="1:258" ht="49.5" customHeight="1" x14ac:dyDescent="0.25">
      <c r="A131" s="122"/>
      <c r="B131" s="139"/>
      <c r="C131" s="122"/>
      <c r="D131" s="122"/>
      <c r="E131" s="122"/>
      <c r="F131" s="25" t="s">
        <v>38</v>
      </c>
      <c r="G131" s="10">
        <f t="shared" si="42"/>
        <v>0</v>
      </c>
      <c r="H131" s="26">
        <f>150000-150000</f>
        <v>0</v>
      </c>
      <c r="I131" s="26">
        <f>250000-250000</f>
        <v>0</v>
      </c>
      <c r="J131" s="26">
        <f>250000-100000-150000</f>
        <v>0</v>
      </c>
      <c r="K131" s="28">
        <f>250000-250000</f>
        <v>0</v>
      </c>
      <c r="L131" s="26">
        <f>250000-250000</f>
        <v>0</v>
      </c>
      <c r="M131" s="26">
        <v>0</v>
      </c>
      <c r="N131" s="10">
        <v>0</v>
      </c>
      <c r="O131" s="27">
        <v>0</v>
      </c>
      <c r="P131" s="109"/>
      <c r="Q131" s="109"/>
      <c r="R131" s="109"/>
      <c r="S131" s="109"/>
      <c r="T131" s="109"/>
      <c r="U131" s="109"/>
      <c r="V131" s="109"/>
      <c r="W131" s="109"/>
      <c r="X131" s="109"/>
      <c r="Y131" s="109"/>
      <c r="Z131" s="109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  <c r="II131" s="5"/>
      <c r="IJ131" s="5"/>
      <c r="IK131" s="5"/>
      <c r="IL131" s="5"/>
      <c r="IM131" s="5"/>
      <c r="IN131" s="5"/>
      <c r="IO131" s="5"/>
      <c r="IP131" s="5"/>
      <c r="IQ131" s="5"/>
      <c r="IR131" s="5"/>
      <c r="IS131" s="5"/>
      <c r="IT131" s="5"/>
      <c r="IU131" s="5"/>
      <c r="IV131" s="5"/>
      <c r="IW131" s="5"/>
      <c r="IX131" s="5"/>
    </row>
    <row r="132" spans="1:258" ht="72" customHeight="1" x14ac:dyDescent="0.25">
      <c r="A132" s="141"/>
      <c r="B132" s="139"/>
      <c r="C132" s="141"/>
      <c r="D132" s="141"/>
      <c r="E132" s="141"/>
      <c r="F132" s="29" t="s">
        <v>39</v>
      </c>
      <c r="G132" s="26">
        <f t="shared" si="42"/>
        <v>0</v>
      </c>
      <c r="H132" s="26">
        <v>0</v>
      </c>
      <c r="I132" s="26">
        <v>0</v>
      </c>
      <c r="J132" s="26">
        <v>0</v>
      </c>
      <c r="K132" s="28">
        <v>0</v>
      </c>
      <c r="L132" s="26">
        <v>0</v>
      </c>
      <c r="M132" s="26">
        <v>0</v>
      </c>
      <c r="N132" s="26">
        <v>0</v>
      </c>
      <c r="O132" s="47">
        <v>0</v>
      </c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  <c r="Z132" s="109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  <c r="IF132" s="5"/>
      <c r="IG132" s="5"/>
      <c r="IH132" s="5"/>
      <c r="II132" s="5"/>
      <c r="IJ132" s="5"/>
      <c r="IK132" s="5"/>
      <c r="IL132" s="5"/>
      <c r="IM132" s="5"/>
      <c r="IN132" s="5"/>
      <c r="IO132" s="5"/>
      <c r="IP132" s="5"/>
      <c r="IQ132" s="5"/>
      <c r="IR132" s="5"/>
      <c r="IS132" s="5"/>
      <c r="IT132" s="5"/>
      <c r="IU132" s="5"/>
      <c r="IV132" s="5"/>
      <c r="IW132" s="5"/>
      <c r="IX132" s="5"/>
    </row>
    <row r="133" spans="1:258" ht="40.5" customHeight="1" x14ac:dyDescent="0.25">
      <c r="A133" s="122" t="s">
        <v>74</v>
      </c>
      <c r="B133" s="123" t="s">
        <v>75</v>
      </c>
      <c r="C133" s="80">
        <v>2020</v>
      </c>
      <c r="D133" s="80">
        <v>2025</v>
      </c>
      <c r="E133" s="81" t="s">
        <v>42</v>
      </c>
      <c r="F133" s="48" t="s">
        <v>34</v>
      </c>
      <c r="G133" s="10">
        <f t="shared" ref="G133:G135" si="43">SUM(H133:O133)</f>
        <v>778742</v>
      </c>
      <c r="H133" s="10">
        <f>SUM(H134:H135)</f>
        <v>778742</v>
      </c>
      <c r="I133" s="10">
        <f t="shared" ref="I133:O133" si="44">SUM(I134:I135)</f>
        <v>0</v>
      </c>
      <c r="J133" s="10">
        <f t="shared" si="44"/>
        <v>0</v>
      </c>
      <c r="K133" s="30">
        <f t="shared" si="44"/>
        <v>0</v>
      </c>
      <c r="L133" s="30">
        <f t="shared" si="44"/>
        <v>0</v>
      </c>
      <c r="M133" s="30">
        <f t="shared" si="44"/>
        <v>0</v>
      </c>
      <c r="N133" s="10">
        <f t="shared" si="44"/>
        <v>0</v>
      </c>
      <c r="O133" s="10">
        <f t="shared" si="44"/>
        <v>0</v>
      </c>
      <c r="P133" s="82" t="s">
        <v>76</v>
      </c>
      <c r="Q133" s="83" t="s">
        <v>77</v>
      </c>
      <c r="R133" s="83" t="s">
        <v>130</v>
      </c>
      <c r="S133" s="83" t="s">
        <v>78</v>
      </c>
      <c r="T133" s="83" t="s">
        <v>79</v>
      </c>
      <c r="U133" s="83" t="s">
        <v>57</v>
      </c>
      <c r="V133" s="80">
        <v>0</v>
      </c>
      <c r="W133" s="80">
        <v>0</v>
      </c>
      <c r="X133" s="80">
        <v>1</v>
      </c>
      <c r="Y133" s="80">
        <v>0</v>
      </c>
      <c r="Z133" s="80">
        <v>0</v>
      </c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/>
      <c r="IE133" s="5"/>
      <c r="IF133" s="5"/>
      <c r="IG133" s="5"/>
      <c r="IH133" s="5"/>
      <c r="II133" s="5"/>
      <c r="IJ133" s="5"/>
      <c r="IK133" s="5"/>
      <c r="IL133" s="5"/>
      <c r="IM133" s="5"/>
      <c r="IN133" s="5"/>
      <c r="IO133" s="5"/>
      <c r="IP133" s="5"/>
      <c r="IQ133" s="5"/>
      <c r="IR133" s="5"/>
      <c r="IS133" s="5"/>
      <c r="IT133" s="5"/>
      <c r="IU133" s="5"/>
      <c r="IV133" s="5"/>
      <c r="IW133" s="5"/>
      <c r="IX133" s="5"/>
    </row>
    <row r="134" spans="1:258" ht="51" customHeight="1" x14ac:dyDescent="0.25">
      <c r="A134" s="122"/>
      <c r="B134" s="123"/>
      <c r="C134" s="80"/>
      <c r="D134" s="80"/>
      <c r="E134" s="81"/>
      <c r="F134" s="14" t="s">
        <v>35</v>
      </c>
      <c r="G134" s="10">
        <f t="shared" si="43"/>
        <v>31149.84</v>
      </c>
      <c r="H134" s="10">
        <f>550000+291556.7-841556.7+38223.34-7073.5</f>
        <v>31149.84</v>
      </c>
      <c r="I134" s="10">
        <v>0</v>
      </c>
      <c r="J134" s="10">
        <v>0</v>
      </c>
      <c r="K134" s="30">
        <v>0</v>
      </c>
      <c r="L134" s="30">
        <v>0</v>
      </c>
      <c r="M134" s="30">
        <v>0</v>
      </c>
      <c r="N134" s="10">
        <v>0</v>
      </c>
      <c r="O134" s="10">
        <v>0</v>
      </c>
      <c r="P134" s="82"/>
      <c r="Q134" s="83"/>
      <c r="R134" s="107"/>
      <c r="S134" s="83"/>
      <c r="T134" s="83"/>
      <c r="U134" s="83"/>
      <c r="V134" s="80"/>
      <c r="W134" s="80"/>
      <c r="X134" s="80"/>
      <c r="Y134" s="80"/>
      <c r="Z134" s="80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  <c r="IF134" s="5"/>
      <c r="IG134" s="5"/>
      <c r="IH134" s="5"/>
      <c r="II134" s="5"/>
      <c r="IJ134" s="5"/>
      <c r="IK134" s="5"/>
      <c r="IL134" s="5"/>
      <c r="IM134" s="5"/>
      <c r="IN134" s="5"/>
      <c r="IO134" s="5"/>
      <c r="IP134" s="5"/>
      <c r="IQ134" s="5"/>
      <c r="IR134" s="5"/>
      <c r="IS134" s="5"/>
      <c r="IT134" s="5"/>
      <c r="IU134" s="5"/>
      <c r="IV134" s="5"/>
      <c r="IW134" s="5"/>
      <c r="IX134" s="5"/>
    </row>
    <row r="135" spans="1:258" ht="70.5" customHeight="1" x14ac:dyDescent="0.25">
      <c r="A135" s="122"/>
      <c r="B135" s="123"/>
      <c r="C135" s="80"/>
      <c r="D135" s="80"/>
      <c r="E135" s="81"/>
      <c r="F135" s="14" t="s">
        <v>36</v>
      </c>
      <c r="G135" s="10">
        <f t="shared" si="43"/>
        <v>747592.16</v>
      </c>
      <c r="H135" s="10">
        <f>917360-169767.84</f>
        <v>747592.16</v>
      </c>
      <c r="I135" s="10">
        <v>0</v>
      </c>
      <c r="J135" s="10">
        <v>0</v>
      </c>
      <c r="K135" s="30">
        <v>0</v>
      </c>
      <c r="L135" s="30">
        <v>0</v>
      </c>
      <c r="M135" s="30">
        <v>0</v>
      </c>
      <c r="N135" s="10">
        <v>0</v>
      </c>
      <c r="O135" s="10">
        <v>0</v>
      </c>
      <c r="P135" s="82"/>
      <c r="Q135" s="83"/>
      <c r="R135" s="107"/>
      <c r="S135" s="83"/>
      <c r="T135" s="83"/>
      <c r="U135" s="83"/>
      <c r="V135" s="80"/>
      <c r="W135" s="80"/>
      <c r="X135" s="80"/>
      <c r="Y135" s="80"/>
      <c r="Z135" s="80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  <c r="IG135" s="5"/>
      <c r="IH135" s="5"/>
      <c r="II135" s="5"/>
      <c r="IJ135" s="5"/>
      <c r="IK135" s="5"/>
      <c r="IL135" s="5"/>
      <c r="IM135" s="5"/>
      <c r="IN135" s="5"/>
      <c r="IO135" s="5"/>
      <c r="IP135" s="5"/>
      <c r="IQ135" s="5"/>
      <c r="IR135" s="5"/>
      <c r="IS135" s="5"/>
      <c r="IT135" s="5"/>
      <c r="IU135" s="5"/>
      <c r="IV135" s="5"/>
      <c r="IW135" s="5"/>
      <c r="IX135" s="5"/>
    </row>
    <row r="136" spans="1:258" ht="33" customHeight="1" x14ac:dyDescent="0.25">
      <c r="A136" s="141" t="s">
        <v>173</v>
      </c>
      <c r="B136" s="138" t="s">
        <v>174</v>
      </c>
      <c r="C136" s="141" t="s">
        <v>70</v>
      </c>
      <c r="D136" s="141" t="s">
        <v>71</v>
      </c>
      <c r="E136" s="141" t="s">
        <v>42</v>
      </c>
      <c r="F136" s="25" t="s">
        <v>34</v>
      </c>
      <c r="G136" s="10">
        <f>[1]Приложение!G743</f>
        <v>537053748.86000001</v>
      </c>
      <c r="H136" s="26">
        <f>[1]Приложение!H743</f>
        <v>29773293.940000001</v>
      </c>
      <c r="I136" s="26">
        <f>[1]Приложение!I743</f>
        <v>92593017.780000001</v>
      </c>
      <c r="J136" s="26">
        <f>[1]Приложение!J743</f>
        <v>374261253.54000002</v>
      </c>
      <c r="K136" s="26">
        <f>[1]Приложение!K743</f>
        <v>20511183.600000001</v>
      </c>
      <c r="L136" s="26">
        <f>[1]Приложение!L743</f>
        <v>18915000</v>
      </c>
      <c r="M136" s="26">
        <f>[1]Приложение!M743</f>
        <v>1000000</v>
      </c>
      <c r="N136" s="26">
        <f>[1]Приложение!N743</f>
        <v>0</v>
      </c>
      <c r="O136" s="26">
        <f>[1]Приложение!O743</f>
        <v>0</v>
      </c>
      <c r="P136" s="108" t="s">
        <v>37</v>
      </c>
      <c r="Q136" s="108" t="s">
        <v>37</v>
      </c>
      <c r="R136" s="108" t="s">
        <v>37</v>
      </c>
      <c r="S136" s="108" t="s">
        <v>37</v>
      </c>
      <c r="T136" s="108" t="s">
        <v>37</v>
      </c>
      <c r="U136" s="108" t="s">
        <v>37</v>
      </c>
      <c r="V136" s="108" t="s">
        <v>37</v>
      </c>
      <c r="W136" s="108" t="s">
        <v>37</v>
      </c>
      <c r="X136" s="108" t="s">
        <v>37</v>
      </c>
      <c r="Y136" s="108" t="s">
        <v>37</v>
      </c>
      <c r="Z136" s="108" t="s">
        <v>37</v>
      </c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  <c r="IF136" s="5"/>
      <c r="IG136" s="5"/>
      <c r="IH136" s="5"/>
      <c r="II136" s="5"/>
      <c r="IJ136" s="5"/>
      <c r="IK136" s="5"/>
      <c r="IL136" s="5"/>
      <c r="IM136" s="5"/>
      <c r="IN136" s="5"/>
      <c r="IO136" s="5"/>
      <c r="IP136" s="5"/>
      <c r="IQ136" s="5"/>
      <c r="IR136" s="5"/>
      <c r="IS136" s="5"/>
      <c r="IT136" s="5"/>
      <c r="IU136" s="5"/>
      <c r="IV136" s="5"/>
      <c r="IW136" s="5"/>
      <c r="IX136" s="5"/>
    </row>
    <row r="137" spans="1:258" ht="49.5" customHeight="1" x14ac:dyDescent="0.25">
      <c r="A137" s="142"/>
      <c r="B137" s="195"/>
      <c r="C137" s="142"/>
      <c r="D137" s="142"/>
      <c r="E137" s="142"/>
      <c r="F137" s="25" t="s">
        <v>38</v>
      </c>
      <c r="G137" s="10">
        <f>[1]Приложение!G744</f>
        <v>3562556.48</v>
      </c>
      <c r="H137" s="26">
        <f>[1]Приложение!H744</f>
        <v>685869.21</v>
      </c>
      <c r="I137" s="26">
        <f>[1]Приложение!I744</f>
        <v>382567.13</v>
      </c>
      <c r="J137" s="26">
        <f>[1]Приложение!J744</f>
        <v>1257233.1399999999</v>
      </c>
      <c r="K137" s="26">
        <f>[1]Приложение!K744</f>
        <v>236887</v>
      </c>
      <c r="L137" s="26">
        <f>[1]Приложение!L744</f>
        <v>0</v>
      </c>
      <c r="M137" s="26">
        <f>[1]Приложение!M744</f>
        <v>1000000</v>
      </c>
      <c r="N137" s="26">
        <f>[1]Приложение!N744</f>
        <v>0</v>
      </c>
      <c r="O137" s="26">
        <f>[1]Приложение!O744</f>
        <v>0</v>
      </c>
      <c r="P137" s="109"/>
      <c r="Q137" s="109"/>
      <c r="R137" s="109"/>
      <c r="S137" s="109"/>
      <c r="T137" s="109"/>
      <c r="U137" s="109"/>
      <c r="V137" s="109"/>
      <c r="W137" s="109"/>
      <c r="X137" s="109"/>
      <c r="Y137" s="109"/>
      <c r="Z137" s="109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  <c r="IF137" s="5"/>
      <c r="IG137" s="5"/>
      <c r="IH137" s="5"/>
      <c r="II137" s="5"/>
      <c r="IJ137" s="5"/>
      <c r="IK137" s="5"/>
      <c r="IL137" s="5"/>
      <c r="IM137" s="5"/>
      <c r="IN137" s="5"/>
      <c r="IO137" s="5"/>
      <c r="IP137" s="5"/>
      <c r="IQ137" s="5"/>
      <c r="IR137" s="5"/>
      <c r="IS137" s="5"/>
      <c r="IT137" s="5"/>
      <c r="IU137" s="5"/>
      <c r="IV137" s="5"/>
      <c r="IW137" s="5"/>
      <c r="IX137" s="5"/>
    </row>
    <row r="138" spans="1:258" ht="31.5" customHeight="1" x14ac:dyDescent="0.25">
      <c r="A138" s="142"/>
      <c r="B138" s="195"/>
      <c r="C138" s="142"/>
      <c r="D138" s="142"/>
      <c r="E138" s="142"/>
      <c r="F138" s="29" t="s">
        <v>39</v>
      </c>
      <c r="G138" s="10">
        <f>[1]Приложение!G745</f>
        <v>507207753.87</v>
      </c>
      <c r="H138" s="26">
        <f>[1]Приложение!H745</f>
        <v>27941269.16</v>
      </c>
      <c r="I138" s="26">
        <f>[1]Приложение!I745</f>
        <v>87960578.450000003</v>
      </c>
      <c r="J138" s="26">
        <f>[1]Приложение!J745</f>
        <v>354670406.25999999</v>
      </c>
      <c r="K138" s="26">
        <f>[1]Приложение!K745</f>
        <v>18690500</v>
      </c>
      <c r="L138" s="26">
        <f>[1]Приложение!L745</f>
        <v>17945000</v>
      </c>
      <c r="M138" s="26">
        <f>[1]Приложение!M745</f>
        <v>0</v>
      </c>
      <c r="N138" s="26">
        <f>[1]Приложение!N745</f>
        <v>0</v>
      </c>
      <c r="O138" s="26">
        <f>[1]Приложение!O745</f>
        <v>0</v>
      </c>
      <c r="P138" s="109"/>
      <c r="Q138" s="109"/>
      <c r="R138" s="109"/>
      <c r="S138" s="109"/>
      <c r="T138" s="109"/>
      <c r="U138" s="109"/>
      <c r="V138" s="109"/>
      <c r="W138" s="109"/>
      <c r="X138" s="109"/>
      <c r="Y138" s="109"/>
      <c r="Z138" s="109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  <c r="IG138" s="5"/>
      <c r="IH138" s="5"/>
      <c r="II138" s="5"/>
      <c r="IJ138" s="5"/>
      <c r="IK138" s="5"/>
      <c r="IL138" s="5"/>
      <c r="IM138" s="5"/>
      <c r="IN138" s="5"/>
      <c r="IO138" s="5"/>
      <c r="IP138" s="5"/>
      <c r="IQ138" s="5"/>
      <c r="IR138" s="5"/>
      <c r="IS138" s="5"/>
      <c r="IT138" s="5"/>
      <c r="IU138" s="5"/>
      <c r="IV138" s="5"/>
      <c r="IW138" s="5"/>
      <c r="IX138" s="5"/>
    </row>
    <row r="139" spans="1:258" ht="70.5" customHeight="1" x14ac:dyDescent="0.25">
      <c r="A139" s="62"/>
      <c r="B139" s="195"/>
      <c r="C139" s="62"/>
      <c r="D139" s="62"/>
      <c r="E139" s="62"/>
      <c r="F139" s="41" t="s">
        <v>80</v>
      </c>
      <c r="G139" s="10">
        <f>[1]Приложение!G746</f>
        <v>7872925.7999999998</v>
      </c>
      <c r="H139" s="26">
        <f>[1]Приложение!H746</f>
        <v>1146155.57</v>
      </c>
      <c r="I139" s="26">
        <f>[1]Приложение!I746</f>
        <v>527935.19999999995</v>
      </c>
      <c r="J139" s="26">
        <f>[1]Приложение!J746</f>
        <v>3645038.43</v>
      </c>
      <c r="K139" s="26">
        <f>[1]Приложение!K746</f>
        <v>1583796.6</v>
      </c>
      <c r="L139" s="26">
        <f>[1]Приложение!L746</f>
        <v>970000</v>
      </c>
      <c r="M139" s="26">
        <f>[1]Приложение!M746</f>
        <v>0</v>
      </c>
      <c r="N139" s="26">
        <f>[1]Приложение!N746</f>
        <v>0</v>
      </c>
      <c r="O139" s="26">
        <f>[1]Приложение!O746</f>
        <v>0</v>
      </c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  <c r="IG139" s="5"/>
      <c r="IH139" s="5"/>
      <c r="II139" s="5"/>
      <c r="IJ139" s="5"/>
      <c r="IK139" s="5"/>
      <c r="IL139" s="5"/>
      <c r="IM139" s="5"/>
      <c r="IN139" s="5"/>
      <c r="IO139" s="5"/>
      <c r="IP139" s="5"/>
      <c r="IQ139" s="5"/>
      <c r="IR139" s="5"/>
      <c r="IS139" s="5"/>
      <c r="IT139" s="5"/>
      <c r="IU139" s="5"/>
      <c r="IV139" s="5"/>
      <c r="IW139" s="5"/>
      <c r="IX139" s="5"/>
    </row>
    <row r="140" spans="1:258" ht="19.5" customHeight="1" x14ac:dyDescent="0.25">
      <c r="A140" s="63"/>
      <c r="B140" s="72"/>
      <c r="C140" s="63"/>
      <c r="D140" s="63"/>
      <c r="E140" s="63"/>
      <c r="F140" s="20" t="s">
        <v>170</v>
      </c>
      <c r="G140" s="10">
        <f>[1]Приложение!G747</f>
        <v>18410512.710000001</v>
      </c>
      <c r="H140" s="26">
        <f>[1]Приложение!H747</f>
        <v>0</v>
      </c>
      <c r="I140" s="26">
        <f>[1]Приложение!I747</f>
        <v>3721937</v>
      </c>
      <c r="J140" s="26">
        <f>[1]Приложение!J747</f>
        <v>14688575.710000001</v>
      </c>
      <c r="K140" s="26">
        <f>[1]Приложение!K747</f>
        <v>0</v>
      </c>
      <c r="L140" s="26">
        <f>[1]Приложение!L747</f>
        <v>0</v>
      </c>
      <c r="M140" s="26">
        <f>[1]Приложение!M747</f>
        <v>0</v>
      </c>
      <c r="N140" s="26">
        <f>[1]Приложение!N747</f>
        <v>0</v>
      </c>
      <c r="O140" s="26">
        <f>[1]Приложение!O747</f>
        <v>0</v>
      </c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  <c r="IG140" s="5"/>
      <c r="IH140" s="5"/>
      <c r="II140" s="5"/>
      <c r="IJ140" s="5"/>
      <c r="IK140" s="5"/>
      <c r="IL140" s="5"/>
      <c r="IM140" s="5"/>
      <c r="IN140" s="5"/>
      <c r="IO140" s="5"/>
      <c r="IP140" s="5"/>
      <c r="IQ140" s="5"/>
      <c r="IR140" s="5"/>
      <c r="IS140" s="5"/>
      <c r="IT140" s="5"/>
      <c r="IU140" s="5"/>
      <c r="IV140" s="5"/>
      <c r="IW140" s="5"/>
      <c r="IX140" s="5"/>
    </row>
    <row r="141" spans="1:258" ht="37.5" customHeight="1" x14ac:dyDescent="0.25">
      <c r="A141" s="141" t="s">
        <v>175</v>
      </c>
      <c r="B141" s="138" t="s">
        <v>176</v>
      </c>
      <c r="C141" s="141" t="s">
        <v>70</v>
      </c>
      <c r="D141" s="141" t="s">
        <v>71</v>
      </c>
      <c r="E141" s="141" t="s">
        <v>42</v>
      </c>
      <c r="F141" s="41" t="s">
        <v>34</v>
      </c>
      <c r="G141" s="10">
        <f>[1]Приложение!G766</f>
        <v>515740006.23000002</v>
      </c>
      <c r="H141" s="10">
        <f>[1]Приложение!H766</f>
        <v>12626576.57</v>
      </c>
      <c r="I141" s="10">
        <f>[1]Приложение!I766</f>
        <v>87025992.519999996</v>
      </c>
      <c r="J141" s="10">
        <f>[1]Приложение!J766</f>
        <v>374261253.54000002</v>
      </c>
      <c r="K141" s="30">
        <f>[1]Приложение!K766</f>
        <v>20511183.600000001</v>
      </c>
      <c r="L141" s="30">
        <f>[1]Приложение!L766</f>
        <v>18915000</v>
      </c>
      <c r="M141" s="30">
        <f>[1]Приложение!M766</f>
        <v>2400000</v>
      </c>
      <c r="N141" s="10">
        <f>[1]Приложение!N766</f>
        <v>0</v>
      </c>
      <c r="O141" s="10">
        <f>[1]Приложение!O766</f>
        <v>0</v>
      </c>
      <c r="P141" s="108" t="s">
        <v>37</v>
      </c>
      <c r="Q141" s="108" t="s">
        <v>37</v>
      </c>
      <c r="R141" s="108" t="s">
        <v>37</v>
      </c>
      <c r="S141" s="108" t="s">
        <v>37</v>
      </c>
      <c r="T141" s="108" t="s">
        <v>37</v>
      </c>
      <c r="U141" s="108" t="s">
        <v>37</v>
      </c>
      <c r="V141" s="108" t="s">
        <v>37</v>
      </c>
      <c r="W141" s="108" t="s">
        <v>37</v>
      </c>
      <c r="X141" s="108" t="s">
        <v>37</v>
      </c>
      <c r="Y141" s="108" t="s">
        <v>37</v>
      </c>
      <c r="Z141" s="108" t="s">
        <v>37</v>
      </c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  <c r="IG141" s="5"/>
      <c r="IH141" s="5"/>
      <c r="II141" s="5"/>
      <c r="IJ141" s="5"/>
      <c r="IK141" s="5"/>
      <c r="IL141" s="5"/>
      <c r="IM141" s="5"/>
      <c r="IN141" s="5"/>
      <c r="IO141" s="5"/>
      <c r="IP141" s="5"/>
      <c r="IQ141" s="5"/>
      <c r="IR141" s="5"/>
      <c r="IS141" s="5"/>
      <c r="IT141" s="5"/>
      <c r="IU141" s="5"/>
      <c r="IV141" s="5"/>
      <c r="IW141" s="5"/>
      <c r="IX141" s="5"/>
    </row>
    <row r="142" spans="1:258" ht="57" customHeight="1" x14ac:dyDescent="0.25">
      <c r="A142" s="142"/>
      <c r="B142" s="139"/>
      <c r="C142" s="142"/>
      <c r="D142" s="142"/>
      <c r="E142" s="142"/>
      <c r="F142" s="41" t="s">
        <v>38</v>
      </c>
      <c r="G142" s="10">
        <f>[1]Приложение!G767</f>
        <v>2598336.0099999998</v>
      </c>
      <c r="H142" s="26">
        <f>[1]Приложение!H767</f>
        <v>0</v>
      </c>
      <c r="I142" s="26">
        <f>[1]Приложение!I767</f>
        <v>104215.87</v>
      </c>
      <c r="J142" s="26">
        <f>[1]Приложение!J767</f>
        <v>1257233.1399999999</v>
      </c>
      <c r="K142" s="57">
        <f>[1]Приложение!K767</f>
        <v>236887</v>
      </c>
      <c r="L142" s="57">
        <f>[1]Приложение!L767</f>
        <v>0</v>
      </c>
      <c r="M142" s="57">
        <f>[1]Приложение!M767</f>
        <v>1000000</v>
      </c>
      <c r="N142" s="26">
        <f>[1]Приложение!N767</f>
        <v>0</v>
      </c>
      <c r="O142" s="26">
        <f>[1]Приложение!O767</f>
        <v>0</v>
      </c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  <c r="IF142" s="5"/>
      <c r="IG142" s="5"/>
      <c r="IH142" s="5"/>
      <c r="II142" s="5"/>
      <c r="IJ142" s="5"/>
      <c r="IK142" s="5"/>
      <c r="IL142" s="5"/>
      <c r="IM142" s="5"/>
      <c r="IN142" s="5"/>
      <c r="IO142" s="5"/>
      <c r="IP142" s="5"/>
      <c r="IQ142" s="5"/>
      <c r="IR142" s="5"/>
      <c r="IS142" s="5"/>
      <c r="IT142" s="5"/>
      <c r="IU142" s="5"/>
      <c r="IV142" s="5"/>
      <c r="IW142" s="5"/>
      <c r="IX142" s="5"/>
    </row>
    <row r="143" spans="1:258" ht="31.5" customHeight="1" x14ac:dyDescent="0.25">
      <c r="A143" s="142"/>
      <c r="B143" s="139"/>
      <c r="C143" s="142"/>
      <c r="D143" s="142"/>
      <c r="E143" s="142"/>
      <c r="F143" s="41" t="s">
        <v>39</v>
      </c>
      <c r="G143" s="10">
        <f>[1]Приложение!G768</f>
        <v>485458231.70999998</v>
      </c>
      <c r="H143" s="26">
        <f>[1]Приложение!H768</f>
        <v>11480421</v>
      </c>
      <c r="I143" s="26">
        <f>[1]Приложение!I768</f>
        <v>82671904.450000003</v>
      </c>
      <c r="J143" s="26">
        <f>[1]Приложение!J768</f>
        <v>354670406.25999999</v>
      </c>
      <c r="K143" s="57">
        <f>[1]Приложение!K768</f>
        <v>18690500</v>
      </c>
      <c r="L143" s="57">
        <f>[1]Приложение!L768</f>
        <v>17945000</v>
      </c>
      <c r="M143" s="57">
        <f>[1]Приложение!M768</f>
        <v>0</v>
      </c>
      <c r="N143" s="26">
        <f>[1]Приложение!N768</f>
        <v>0</v>
      </c>
      <c r="O143" s="26">
        <f>[1]Приложение!O768</f>
        <v>0</v>
      </c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  <c r="IF143" s="5"/>
      <c r="IG143" s="5"/>
      <c r="IH143" s="5"/>
      <c r="II143" s="5"/>
      <c r="IJ143" s="5"/>
      <c r="IK143" s="5"/>
      <c r="IL143" s="5"/>
      <c r="IM143" s="5"/>
      <c r="IN143" s="5"/>
      <c r="IO143" s="5"/>
      <c r="IP143" s="5"/>
      <c r="IQ143" s="5"/>
      <c r="IR143" s="5"/>
      <c r="IS143" s="5"/>
      <c r="IT143" s="5"/>
      <c r="IU143" s="5"/>
      <c r="IV143" s="5"/>
      <c r="IW143" s="5"/>
      <c r="IX143" s="5"/>
    </row>
    <row r="144" spans="1:258" ht="70.5" customHeight="1" x14ac:dyDescent="0.25">
      <c r="A144" s="142"/>
      <c r="B144" s="139"/>
      <c r="C144" s="142"/>
      <c r="D144" s="142"/>
      <c r="E144" s="142"/>
      <c r="F144" s="41" t="s">
        <v>80</v>
      </c>
      <c r="G144" s="10">
        <f>[1]Приложение!G769</f>
        <v>9272925.8000000007</v>
      </c>
      <c r="H144" s="26">
        <f>[1]Приложение!H769</f>
        <v>1146155.57</v>
      </c>
      <c r="I144" s="26">
        <f>[1]Приложение!I769</f>
        <v>527935.19999999995</v>
      </c>
      <c r="J144" s="26">
        <f>[1]Приложение!J769</f>
        <v>3645038.43</v>
      </c>
      <c r="K144" s="26">
        <f>[1]Приложение!K769</f>
        <v>1583796.6</v>
      </c>
      <c r="L144" s="26">
        <f>[1]Приложение!L769</f>
        <v>970000</v>
      </c>
      <c r="M144" s="57">
        <f>[1]Приложение!M769</f>
        <v>1400000</v>
      </c>
      <c r="N144" s="26">
        <f>[1]Приложение!N769</f>
        <v>0</v>
      </c>
      <c r="O144" s="26">
        <f>[1]Приложение!O769</f>
        <v>0</v>
      </c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  <c r="IF144" s="5"/>
      <c r="IG144" s="5"/>
      <c r="IH144" s="5"/>
      <c r="II144" s="5"/>
      <c r="IJ144" s="5"/>
      <c r="IK144" s="5"/>
      <c r="IL144" s="5"/>
      <c r="IM144" s="5"/>
      <c r="IN144" s="5"/>
      <c r="IO144" s="5"/>
      <c r="IP144" s="5"/>
      <c r="IQ144" s="5"/>
      <c r="IR144" s="5"/>
      <c r="IS144" s="5"/>
      <c r="IT144" s="5"/>
      <c r="IU144" s="5"/>
      <c r="IV144" s="5"/>
      <c r="IW144" s="5"/>
      <c r="IX144" s="5"/>
    </row>
    <row r="145" spans="1:258" ht="21" customHeight="1" x14ac:dyDescent="0.25">
      <c r="A145" s="63"/>
      <c r="B145" s="72"/>
      <c r="C145" s="63"/>
      <c r="D145" s="63"/>
      <c r="E145" s="63"/>
      <c r="F145" s="41" t="s">
        <v>170</v>
      </c>
      <c r="G145" s="10">
        <f>[1]Приложение!G770</f>
        <v>18410512.710000001</v>
      </c>
      <c r="H145" s="26">
        <f>[1]Приложение!H770</f>
        <v>0</v>
      </c>
      <c r="I145" s="26">
        <f>[1]Приложение!I770</f>
        <v>3721937</v>
      </c>
      <c r="J145" s="26">
        <f>[1]Приложение!J770</f>
        <v>14688575.710000001</v>
      </c>
      <c r="K145" s="26">
        <f>[1]Приложение!K770</f>
        <v>0</v>
      </c>
      <c r="L145" s="26">
        <f>[1]Приложение!L770</f>
        <v>0</v>
      </c>
      <c r="M145" s="26">
        <f>[1]Приложение!M770</f>
        <v>0</v>
      </c>
      <c r="N145" s="26">
        <f>[1]Приложение!N770</f>
        <v>0</v>
      </c>
      <c r="O145" s="26">
        <f>[1]Приложение!O770</f>
        <v>0</v>
      </c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HR145" s="5"/>
      <c r="HS145" s="5"/>
      <c r="HT145" s="5"/>
      <c r="HU145" s="5"/>
      <c r="HV145" s="5"/>
      <c r="HW145" s="5"/>
      <c r="HX145" s="5"/>
      <c r="HY145" s="5"/>
      <c r="HZ145" s="5"/>
      <c r="IA145" s="5"/>
      <c r="IB145" s="5"/>
      <c r="IC145" s="5"/>
      <c r="ID145" s="5"/>
      <c r="IE145" s="5"/>
      <c r="IF145" s="5"/>
      <c r="IG145" s="5"/>
      <c r="IH145" s="5"/>
      <c r="II145" s="5"/>
      <c r="IJ145" s="5"/>
      <c r="IK145" s="5"/>
      <c r="IL145" s="5"/>
      <c r="IM145" s="5"/>
      <c r="IN145" s="5"/>
      <c r="IO145" s="5"/>
      <c r="IP145" s="5"/>
      <c r="IQ145" s="5"/>
      <c r="IR145" s="5"/>
      <c r="IS145" s="5"/>
      <c r="IT145" s="5"/>
      <c r="IU145" s="5"/>
      <c r="IV145" s="5"/>
      <c r="IW145" s="5"/>
      <c r="IX145" s="5"/>
    </row>
    <row r="146" spans="1:258" ht="37.5" customHeight="1" x14ac:dyDescent="0.25">
      <c r="A146" s="67" t="s">
        <v>166</v>
      </c>
      <c r="B146" s="70" t="s">
        <v>167</v>
      </c>
      <c r="C146" s="64">
        <v>2024</v>
      </c>
      <c r="D146" s="64">
        <v>2027</v>
      </c>
      <c r="E146" s="73" t="s">
        <v>42</v>
      </c>
      <c r="F146" s="58" t="s">
        <v>34</v>
      </c>
      <c r="G146" s="15">
        <f>[1]Приложение!G876</f>
        <v>1000000</v>
      </c>
      <c r="H146" s="15">
        <f>[1]Приложение!H876</f>
        <v>0</v>
      </c>
      <c r="I146" s="15">
        <f>[1]Приложение!I876</f>
        <v>0</v>
      </c>
      <c r="J146" s="15">
        <f>[1]Приложение!J876</f>
        <v>0</v>
      </c>
      <c r="K146" s="15">
        <f>[1]Приложение!K876</f>
        <v>0</v>
      </c>
      <c r="L146" s="15">
        <f>[1]Приложение!L876</f>
        <v>0</v>
      </c>
      <c r="M146" s="15">
        <f>[1]Приложение!M876</f>
        <v>1000000</v>
      </c>
      <c r="N146" s="15">
        <f>[1]Приложение!N876</f>
        <v>0</v>
      </c>
      <c r="O146" s="15">
        <f>[1]Приложение!O876</f>
        <v>0</v>
      </c>
      <c r="P146" s="73" t="s">
        <v>168</v>
      </c>
      <c r="Q146" s="77" t="s">
        <v>169</v>
      </c>
      <c r="R146" s="64">
        <v>1.88</v>
      </c>
      <c r="S146" s="61"/>
      <c r="T146" s="61"/>
      <c r="U146" s="61"/>
      <c r="V146" s="61"/>
      <c r="W146" s="64"/>
      <c r="X146" s="64">
        <v>1.88</v>
      </c>
      <c r="Y146" s="61"/>
      <c r="Z146" s="61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HR146" s="5"/>
      <c r="HS146" s="5"/>
      <c r="HT146" s="5"/>
      <c r="HU146" s="5"/>
      <c r="HV146" s="5"/>
      <c r="HW146" s="5"/>
      <c r="HX146" s="5"/>
      <c r="HY146" s="5"/>
      <c r="HZ146" s="5"/>
      <c r="IA146" s="5"/>
      <c r="IB146" s="5"/>
      <c r="IC146" s="5"/>
      <c r="ID146" s="5"/>
      <c r="IE146" s="5"/>
      <c r="IF146" s="5"/>
      <c r="IG146" s="5"/>
      <c r="IH146" s="5"/>
      <c r="II146" s="5"/>
      <c r="IJ146" s="5"/>
      <c r="IK146" s="5"/>
      <c r="IL146" s="5"/>
      <c r="IM146" s="5"/>
      <c r="IN146" s="5"/>
      <c r="IO146" s="5"/>
      <c r="IP146" s="5"/>
      <c r="IQ146" s="5"/>
      <c r="IR146" s="5"/>
      <c r="IS146" s="5"/>
      <c r="IT146" s="5"/>
      <c r="IU146" s="5"/>
      <c r="IV146" s="5"/>
      <c r="IW146" s="5"/>
      <c r="IX146" s="5"/>
    </row>
    <row r="147" spans="1:258" ht="48" customHeight="1" x14ac:dyDescent="0.25">
      <c r="A147" s="68"/>
      <c r="B147" s="71"/>
      <c r="C147" s="65"/>
      <c r="D147" s="65"/>
      <c r="E147" s="74"/>
      <c r="F147" s="59" t="s">
        <v>35</v>
      </c>
      <c r="G147" s="15">
        <f>[1]Приложение!G877</f>
        <v>0</v>
      </c>
      <c r="H147" s="15">
        <f>[1]Приложение!H877</f>
        <v>0</v>
      </c>
      <c r="I147" s="15">
        <f>[1]Приложение!I877</f>
        <v>0</v>
      </c>
      <c r="J147" s="15">
        <f>[1]Приложение!J877</f>
        <v>0</v>
      </c>
      <c r="K147" s="15">
        <f>[1]Приложение!K877</f>
        <v>0</v>
      </c>
      <c r="L147" s="15">
        <f>[1]Приложение!L877</f>
        <v>0</v>
      </c>
      <c r="M147" s="15">
        <f>[1]Приложение!M877</f>
        <v>0</v>
      </c>
      <c r="N147" s="15">
        <f>[1]Приложение!N877</f>
        <v>0</v>
      </c>
      <c r="O147" s="15">
        <f>[1]Приложение!O877</f>
        <v>0</v>
      </c>
      <c r="P147" s="75"/>
      <c r="Q147" s="78"/>
      <c r="R147" s="65"/>
      <c r="S147" s="62"/>
      <c r="T147" s="62"/>
      <c r="U147" s="62"/>
      <c r="V147" s="62"/>
      <c r="W147" s="65"/>
      <c r="X147" s="65"/>
      <c r="Y147" s="62"/>
      <c r="Z147" s="62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HR147" s="5"/>
      <c r="HS147" s="5"/>
      <c r="HT147" s="5"/>
      <c r="HU147" s="5"/>
      <c r="HV147" s="5"/>
      <c r="HW147" s="5"/>
      <c r="HX147" s="5"/>
      <c r="HY147" s="5"/>
      <c r="HZ147" s="5"/>
      <c r="IA147" s="5"/>
      <c r="IB147" s="5"/>
      <c r="IC147" s="5"/>
      <c r="ID147" s="5"/>
      <c r="IE147" s="5"/>
      <c r="IF147" s="5"/>
      <c r="IG147" s="5"/>
      <c r="IH147" s="5"/>
      <c r="II147" s="5"/>
      <c r="IJ147" s="5"/>
      <c r="IK147" s="5"/>
      <c r="IL147" s="5"/>
      <c r="IM147" s="5"/>
      <c r="IN147" s="5"/>
      <c r="IO147" s="5"/>
      <c r="IP147" s="5"/>
      <c r="IQ147" s="5"/>
      <c r="IR147" s="5"/>
      <c r="IS147" s="5"/>
      <c r="IT147" s="5"/>
      <c r="IU147" s="5"/>
      <c r="IV147" s="5"/>
      <c r="IW147" s="5"/>
      <c r="IX147" s="5"/>
    </row>
    <row r="148" spans="1:258" ht="37.5" customHeight="1" x14ac:dyDescent="0.25">
      <c r="A148" s="68"/>
      <c r="B148" s="71"/>
      <c r="C148" s="65"/>
      <c r="D148" s="65"/>
      <c r="E148" s="74"/>
      <c r="F148" s="59" t="s">
        <v>36</v>
      </c>
      <c r="G148" s="15">
        <f>[1]Приложение!G878</f>
        <v>0</v>
      </c>
      <c r="H148" s="15">
        <f>[1]Приложение!H878</f>
        <v>0</v>
      </c>
      <c r="I148" s="15">
        <f>[1]Приложение!I878</f>
        <v>0</v>
      </c>
      <c r="J148" s="15">
        <f>[1]Приложение!J878</f>
        <v>0</v>
      </c>
      <c r="K148" s="15">
        <f>[1]Приложение!K878</f>
        <v>0</v>
      </c>
      <c r="L148" s="15">
        <f>[1]Приложение!L878</f>
        <v>0</v>
      </c>
      <c r="M148" s="15">
        <f>[1]Приложение!M878</f>
        <v>0</v>
      </c>
      <c r="N148" s="15">
        <f>[1]Приложение!N878</f>
        <v>0</v>
      </c>
      <c r="O148" s="15">
        <f>[1]Приложение!O878</f>
        <v>0</v>
      </c>
      <c r="P148" s="75"/>
      <c r="Q148" s="78"/>
      <c r="R148" s="65"/>
      <c r="S148" s="62"/>
      <c r="T148" s="62"/>
      <c r="U148" s="62"/>
      <c r="V148" s="62"/>
      <c r="W148" s="65"/>
      <c r="X148" s="65"/>
      <c r="Y148" s="62"/>
      <c r="Z148" s="62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HR148" s="5"/>
      <c r="HS148" s="5"/>
      <c r="HT148" s="5"/>
      <c r="HU148" s="5"/>
      <c r="HV148" s="5"/>
      <c r="HW148" s="5"/>
      <c r="HX148" s="5"/>
      <c r="HY148" s="5"/>
      <c r="HZ148" s="5"/>
      <c r="IA148" s="5"/>
      <c r="IB148" s="5"/>
      <c r="IC148" s="5"/>
      <c r="ID148" s="5"/>
      <c r="IE148" s="5"/>
      <c r="IF148" s="5"/>
      <c r="IG148" s="5"/>
      <c r="IH148" s="5"/>
      <c r="II148" s="5"/>
      <c r="IJ148" s="5"/>
      <c r="IK148" s="5"/>
      <c r="IL148" s="5"/>
      <c r="IM148" s="5"/>
      <c r="IN148" s="5"/>
      <c r="IO148" s="5"/>
      <c r="IP148" s="5"/>
      <c r="IQ148" s="5"/>
      <c r="IR148" s="5"/>
      <c r="IS148" s="5"/>
      <c r="IT148" s="5"/>
      <c r="IU148" s="5"/>
      <c r="IV148" s="5"/>
      <c r="IW148" s="5"/>
      <c r="IX148" s="5"/>
    </row>
    <row r="149" spans="1:258" ht="67.5" customHeight="1" x14ac:dyDescent="0.25">
      <c r="A149" s="68"/>
      <c r="B149" s="71"/>
      <c r="C149" s="65"/>
      <c r="D149" s="65"/>
      <c r="E149" s="74"/>
      <c r="F149" s="59" t="s">
        <v>80</v>
      </c>
      <c r="G149" s="15">
        <f>[1]Приложение!G879</f>
        <v>1000000</v>
      </c>
      <c r="H149" s="15">
        <f>[1]Приложение!H879</f>
        <v>0</v>
      </c>
      <c r="I149" s="15">
        <f>[1]Приложение!I879</f>
        <v>0</v>
      </c>
      <c r="J149" s="15">
        <f>[1]Приложение!J879</f>
        <v>0</v>
      </c>
      <c r="K149" s="15">
        <f>[1]Приложение!K879</f>
        <v>0</v>
      </c>
      <c r="L149" s="15">
        <f>[1]Приложение!L879</f>
        <v>0</v>
      </c>
      <c r="M149" s="15">
        <f>[1]Приложение!M879</f>
        <v>1000000</v>
      </c>
      <c r="N149" s="15">
        <f>[1]Приложение!N879</f>
        <v>0</v>
      </c>
      <c r="O149" s="15">
        <f>[1]Приложение!O879</f>
        <v>0</v>
      </c>
      <c r="P149" s="75"/>
      <c r="Q149" s="79"/>
      <c r="R149" s="65"/>
      <c r="S149" s="62"/>
      <c r="T149" s="62"/>
      <c r="U149" s="62"/>
      <c r="V149" s="62"/>
      <c r="W149" s="65"/>
      <c r="X149" s="65"/>
      <c r="Y149" s="62"/>
      <c r="Z149" s="62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HR149" s="5"/>
      <c r="HS149" s="5"/>
      <c r="HT149" s="5"/>
      <c r="HU149" s="5"/>
      <c r="HV149" s="5"/>
      <c r="HW149" s="5"/>
      <c r="HX149" s="5"/>
      <c r="HY149" s="5"/>
      <c r="HZ149" s="5"/>
      <c r="IA149" s="5"/>
      <c r="IB149" s="5"/>
      <c r="IC149" s="5"/>
      <c r="ID149" s="5"/>
      <c r="IE149" s="5"/>
      <c r="IF149" s="5"/>
      <c r="IG149" s="5"/>
      <c r="IH149" s="5"/>
      <c r="II149" s="5"/>
      <c r="IJ149" s="5"/>
      <c r="IK149" s="5"/>
      <c r="IL149" s="5"/>
      <c r="IM149" s="5"/>
      <c r="IN149" s="5"/>
      <c r="IO149" s="5"/>
      <c r="IP149" s="5"/>
      <c r="IQ149" s="5"/>
      <c r="IR149" s="5"/>
      <c r="IS149" s="5"/>
      <c r="IT149" s="5"/>
      <c r="IU149" s="5"/>
      <c r="IV149" s="5"/>
      <c r="IW149" s="5"/>
      <c r="IX149" s="5"/>
    </row>
    <row r="150" spans="1:258" ht="54" customHeight="1" x14ac:dyDescent="0.25">
      <c r="A150" s="69"/>
      <c r="B150" s="72"/>
      <c r="C150" s="66"/>
      <c r="D150" s="66"/>
      <c r="E150" s="63"/>
      <c r="F150" s="60" t="s">
        <v>170</v>
      </c>
      <c r="G150" s="15">
        <f>[1]Приложение!G880</f>
        <v>0</v>
      </c>
      <c r="H150" s="15">
        <f>[1]Приложение!H880</f>
        <v>0</v>
      </c>
      <c r="I150" s="15">
        <f>[1]Приложение!I880</f>
        <v>0</v>
      </c>
      <c r="J150" s="15">
        <f>[1]Приложение!J880</f>
        <v>0</v>
      </c>
      <c r="K150" s="15">
        <f>[1]Приложение!K880</f>
        <v>0</v>
      </c>
      <c r="L150" s="15">
        <f>[1]Приложение!L880</f>
        <v>0</v>
      </c>
      <c r="M150" s="15">
        <f>[1]Приложение!M880</f>
        <v>0</v>
      </c>
      <c r="N150" s="15">
        <f>[1]Приложение!N880</f>
        <v>0</v>
      </c>
      <c r="O150" s="15">
        <f>[1]Приложение!O880</f>
        <v>0</v>
      </c>
      <c r="P150" s="76"/>
      <c r="Q150" s="63"/>
      <c r="R150" s="66"/>
      <c r="S150" s="63"/>
      <c r="T150" s="63"/>
      <c r="U150" s="63"/>
      <c r="V150" s="63"/>
      <c r="W150" s="66"/>
      <c r="X150" s="66"/>
      <c r="Y150" s="63"/>
      <c r="Z150" s="63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HR150" s="5"/>
      <c r="HS150" s="5"/>
      <c r="HT150" s="5"/>
      <c r="HU150" s="5"/>
      <c r="HV150" s="5"/>
      <c r="HW150" s="5"/>
      <c r="HX150" s="5"/>
      <c r="HY150" s="5"/>
      <c r="HZ150" s="5"/>
      <c r="IA150" s="5"/>
      <c r="IB150" s="5"/>
      <c r="IC150" s="5"/>
      <c r="ID150" s="5"/>
      <c r="IE150" s="5"/>
      <c r="IF150" s="5"/>
      <c r="IG150" s="5"/>
      <c r="IH150" s="5"/>
      <c r="II150" s="5"/>
      <c r="IJ150" s="5"/>
      <c r="IK150" s="5"/>
      <c r="IL150" s="5"/>
      <c r="IM150" s="5"/>
      <c r="IN150" s="5"/>
      <c r="IO150" s="5"/>
      <c r="IP150" s="5"/>
      <c r="IQ150" s="5"/>
      <c r="IR150" s="5"/>
      <c r="IS150" s="5"/>
      <c r="IT150" s="5"/>
      <c r="IU150" s="5"/>
      <c r="IV150" s="5"/>
      <c r="IW150" s="5"/>
      <c r="IX150" s="5"/>
    </row>
    <row r="151" spans="1:258" ht="40.5" customHeight="1" x14ac:dyDescent="0.25">
      <c r="A151" s="67" t="s">
        <v>171</v>
      </c>
      <c r="B151" s="70" t="s">
        <v>172</v>
      </c>
      <c r="C151" s="64">
        <v>2024</v>
      </c>
      <c r="D151" s="64">
        <v>2027</v>
      </c>
      <c r="E151" s="73" t="s">
        <v>42</v>
      </c>
      <c r="F151" s="58" t="s">
        <v>34</v>
      </c>
      <c r="G151" s="15">
        <f>[1]Приложение!G881</f>
        <v>400000</v>
      </c>
      <c r="H151" s="15">
        <f>[1]Приложение!H881</f>
        <v>0</v>
      </c>
      <c r="I151" s="15">
        <f>[1]Приложение!I881</f>
        <v>0</v>
      </c>
      <c r="J151" s="15">
        <f>[1]Приложение!J881</f>
        <v>0</v>
      </c>
      <c r="K151" s="15">
        <f>[1]Приложение!K881</f>
        <v>0</v>
      </c>
      <c r="L151" s="15">
        <f>[1]Приложение!L881</f>
        <v>0</v>
      </c>
      <c r="M151" s="15">
        <f>[1]Приложение!M881</f>
        <v>400000</v>
      </c>
      <c r="N151" s="15">
        <f>[1]Приложение!N881</f>
        <v>0</v>
      </c>
      <c r="O151" s="15">
        <f>[1]Приложение!O881</f>
        <v>0</v>
      </c>
      <c r="P151" s="73" t="s">
        <v>168</v>
      </c>
      <c r="Q151" s="77" t="s">
        <v>169</v>
      </c>
      <c r="R151" s="64">
        <v>1.88</v>
      </c>
      <c r="S151" s="61"/>
      <c r="T151" s="61"/>
      <c r="U151" s="61"/>
      <c r="V151" s="61"/>
      <c r="W151" s="64"/>
      <c r="X151" s="64">
        <v>1.88</v>
      </c>
      <c r="Y151" s="61"/>
      <c r="Z151" s="61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HR151" s="5"/>
      <c r="HS151" s="5"/>
      <c r="HT151" s="5"/>
      <c r="HU151" s="5"/>
      <c r="HV151" s="5"/>
      <c r="HW151" s="5"/>
      <c r="HX151" s="5"/>
      <c r="HY151" s="5"/>
      <c r="HZ151" s="5"/>
      <c r="IA151" s="5"/>
      <c r="IB151" s="5"/>
      <c r="IC151" s="5"/>
      <c r="ID151" s="5"/>
      <c r="IE151" s="5"/>
      <c r="IF151" s="5"/>
      <c r="IG151" s="5"/>
      <c r="IH151" s="5"/>
      <c r="II151" s="5"/>
      <c r="IJ151" s="5"/>
      <c r="IK151" s="5"/>
      <c r="IL151" s="5"/>
      <c r="IM151" s="5"/>
      <c r="IN151" s="5"/>
      <c r="IO151" s="5"/>
      <c r="IP151" s="5"/>
      <c r="IQ151" s="5"/>
      <c r="IR151" s="5"/>
      <c r="IS151" s="5"/>
      <c r="IT151" s="5"/>
      <c r="IU151" s="5"/>
      <c r="IV151" s="5"/>
      <c r="IW151" s="5"/>
      <c r="IX151" s="5"/>
    </row>
    <row r="152" spans="1:258" ht="49.5" customHeight="1" x14ac:dyDescent="0.25">
      <c r="A152" s="68"/>
      <c r="B152" s="71"/>
      <c r="C152" s="65"/>
      <c r="D152" s="65"/>
      <c r="E152" s="74"/>
      <c r="F152" s="59" t="s">
        <v>35</v>
      </c>
      <c r="G152" s="15">
        <f>[1]Приложение!G882</f>
        <v>0</v>
      </c>
      <c r="H152" s="15">
        <f>[1]Приложение!H882</f>
        <v>0</v>
      </c>
      <c r="I152" s="15">
        <f>[1]Приложение!I882</f>
        <v>0</v>
      </c>
      <c r="J152" s="15">
        <f>[1]Приложение!J882</f>
        <v>0</v>
      </c>
      <c r="K152" s="15">
        <f>[1]Приложение!K882</f>
        <v>0</v>
      </c>
      <c r="L152" s="15">
        <f>[1]Приложение!L882</f>
        <v>0</v>
      </c>
      <c r="M152" s="15">
        <f>[1]Приложение!M882</f>
        <v>0</v>
      </c>
      <c r="N152" s="15">
        <f>[1]Приложение!N882</f>
        <v>0</v>
      </c>
      <c r="O152" s="15">
        <f>[1]Приложение!O882</f>
        <v>0</v>
      </c>
      <c r="P152" s="75"/>
      <c r="Q152" s="78"/>
      <c r="R152" s="65"/>
      <c r="S152" s="62"/>
      <c r="T152" s="62"/>
      <c r="U152" s="62"/>
      <c r="V152" s="62"/>
      <c r="W152" s="65"/>
      <c r="X152" s="65"/>
      <c r="Y152" s="62"/>
      <c r="Z152" s="62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HR152" s="5"/>
      <c r="HS152" s="5"/>
      <c r="HT152" s="5"/>
      <c r="HU152" s="5"/>
      <c r="HV152" s="5"/>
      <c r="HW152" s="5"/>
      <c r="HX152" s="5"/>
      <c r="HY152" s="5"/>
      <c r="HZ152" s="5"/>
      <c r="IA152" s="5"/>
      <c r="IB152" s="5"/>
      <c r="IC152" s="5"/>
      <c r="ID152" s="5"/>
      <c r="IE152" s="5"/>
      <c r="IF152" s="5"/>
      <c r="IG152" s="5"/>
      <c r="IH152" s="5"/>
      <c r="II152" s="5"/>
      <c r="IJ152" s="5"/>
      <c r="IK152" s="5"/>
      <c r="IL152" s="5"/>
      <c r="IM152" s="5"/>
      <c r="IN152" s="5"/>
      <c r="IO152" s="5"/>
      <c r="IP152" s="5"/>
      <c r="IQ152" s="5"/>
      <c r="IR152" s="5"/>
      <c r="IS152" s="5"/>
      <c r="IT152" s="5"/>
      <c r="IU152" s="5"/>
      <c r="IV152" s="5"/>
      <c r="IW152" s="5"/>
      <c r="IX152" s="5"/>
    </row>
    <row r="153" spans="1:258" ht="34.5" customHeight="1" x14ac:dyDescent="0.25">
      <c r="A153" s="68"/>
      <c r="B153" s="71"/>
      <c r="C153" s="65"/>
      <c r="D153" s="65"/>
      <c r="E153" s="74"/>
      <c r="F153" s="59" t="s">
        <v>36</v>
      </c>
      <c r="G153" s="15">
        <f>[1]Приложение!G883</f>
        <v>0</v>
      </c>
      <c r="H153" s="15">
        <f>[1]Приложение!H883</f>
        <v>0</v>
      </c>
      <c r="I153" s="15">
        <f>[1]Приложение!I883</f>
        <v>0</v>
      </c>
      <c r="J153" s="15">
        <f>[1]Приложение!J883</f>
        <v>0</v>
      </c>
      <c r="K153" s="15">
        <f>[1]Приложение!K883</f>
        <v>0</v>
      </c>
      <c r="L153" s="15">
        <f>[1]Приложение!L883</f>
        <v>0</v>
      </c>
      <c r="M153" s="15">
        <f>[1]Приложение!M883</f>
        <v>0</v>
      </c>
      <c r="N153" s="15">
        <f>[1]Приложение!N883</f>
        <v>0</v>
      </c>
      <c r="O153" s="15">
        <f>[1]Приложение!O883</f>
        <v>0</v>
      </c>
      <c r="P153" s="75"/>
      <c r="Q153" s="78"/>
      <c r="R153" s="65"/>
      <c r="S153" s="62"/>
      <c r="T153" s="62"/>
      <c r="U153" s="62"/>
      <c r="V153" s="62"/>
      <c r="W153" s="65"/>
      <c r="X153" s="65"/>
      <c r="Y153" s="62"/>
      <c r="Z153" s="62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HR153" s="5"/>
      <c r="HS153" s="5"/>
      <c r="HT153" s="5"/>
      <c r="HU153" s="5"/>
      <c r="HV153" s="5"/>
      <c r="HW153" s="5"/>
      <c r="HX153" s="5"/>
      <c r="HY153" s="5"/>
      <c r="HZ153" s="5"/>
      <c r="IA153" s="5"/>
      <c r="IB153" s="5"/>
      <c r="IC153" s="5"/>
      <c r="ID153" s="5"/>
      <c r="IE153" s="5"/>
      <c r="IF153" s="5"/>
      <c r="IG153" s="5"/>
      <c r="IH153" s="5"/>
      <c r="II153" s="5"/>
      <c r="IJ153" s="5"/>
      <c r="IK153" s="5"/>
      <c r="IL153" s="5"/>
      <c r="IM153" s="5"/>
      <c r="IN153" s="5"/>
      <c r="IO153" s="5"/>
      <c r="IP153" s="5"/>
      <c r="IQ153" s="5"/>
      <c r="IR153" s="5"/>
      <c r="IS153" s="5"/>
      <c r="IT153" s="5"/>
      <c r="IU153" s="5"/>
      <c r="IV153" s="5"/>
      <c r="IW153" s="5"/>
      <c r="IX153" s="5"/>
    </row>
    <row r="154" spans="1:258" ht="49.5" customHeight="1" x14ac:dyDescent="0.25">
      <c r="A154" s="68"/>
      <c r="B154" s="71"/>
      <c r="C154" s="65"/>
      <c r="D154" s="65"/>
      <c r="E154" s="74"/>
      <c r="F154" s="59" t="s">
        <v>80</v>
      </c>
      <c r="G154" s="15">
        <f>[1]Приложение!G884</f>
        <v>400000</v>
      </c>
      <c r="H154" s="15">
        <f>[1]Приложение!H884</f>
        <v>0</v>
      </c>
      <c r="I154" s="15">
        <f>[1]Приложение!I884</f>
        <v>0</v>
      </c>
      <c r="J154" s="15">
        <f>[1]Приложение!J884</f>
        <v>0</v>
      </c>
      <c r="K154" s="15">
        <f>[1]Приложение!K884</f>
        <v>0</v>
      </c>
      <c r="L154" s="15">
        <f>[1]Приложение!L884</f>
        <v>0</v>
      </c>
      <c r="M154" s="15">
        <f>[1]Приложение!M884</f>
        <v>400000</v>
      </c>
      <c r="N154" s="15">
        <f>[1]Приложение!N884</f>
        <v>0</v>
      </c>
      <c r="O154" s="15">
        <f>[1]Приложение!O884</f>
        <v>0</v>
      </c>
      <c r="P154" s="75"/>
      <c r="Q154" s="79"/>
      <c r="R154" s="65"/>
      <c r="S154" s="62"/>
      <c r="T154" s="62"/>
      <c r="U154" s="62"/>
      <c r="V154" s="62"/>
      <c r="W154" s="65"/>
      <c r="X154" s="65"/>
      <c r="Y154" s="62"/>
      <c r="Z154" s="62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HR154" s="5"/>
      <c r="HS154" s="5"/>
      <c r="HT154" s="5"/>
      <c r="HU154" s="5"/>
      <c r="HV154" s="5"/>
      <c r="HW154" s="5"/>
      <c r="HX154" s="5"/>
      <c r="HY154" s="5"/>
      <c r="HZ154" s="5"/>
      <c r="IA154" s="5"/>
      <c r="IB154" s="5"/>
      <c r="IC154" s="5"/>
      <c r="ID154" s="5"/>
      <c r="IE154" s="5"/>
      <c r="IF154" s="5"/>
      <c r="IG154" s="5"/>
      <c r="IH154" s="5"/>
      <c r="II154" s="5"/>
      <c r="IJ154" s="5"/>
      <c r="IK154" s="5"/>
      <c r="IL154" s="5"/>
      <c r="IM154" s="5"/>
      <c r="IN154" s="5"/>
      <c r="IO154" s="5"/>
      <c r="IP154" s="5"/>
      <c r="IQ154" s="5"/>
      <c r="IR154" s="5"/>
      <c r="IS154" s="5"/>
      <c r="IT154" s="5"/>
      <c r="IU154" s="5"/>
      <c r="IV154" s="5"/>
      <c r="IW154" s="5"/>
      <c r="IX154" s="5"/>
    </row>
    <row r="155" spans="1:258" ht="42" customHeight="1" x14ac:dyDescent="0.25">
      <c r="A155" s="69"/>
      <c r="B155" s="72"/>
      <c r="C155" s="66"/>
      <c r="D155" s="66"/>
      <c r="E155" s="63"/>
      <c r="F155" s="60" t="s">
        <v>170</v>
      </c>
      <c r="G155" s="15">
        <f>[1]Приложение!G885</f>
        <v>0</v>
      </c>
      <c r="H155" s="15">
        <f>[1]Приложение!H885</f>
        <v>0</v>
      </c>
      <c r="I155" s="15">
        <f>[1]Приложение!I885</f>
        <v>0</v>
      </c>
      <c r="J155" s="15">
        <f>[1]Приложение!J885</f>
        <v>0</v>
      </c>
      <c r="K155" s="15">
        <f>[1]Приложение!K885</f>
        <v>0</v>
      </c>
      <c r="L155" s="15">
        <f>[1]Приложение!L885</f>
        <v>0</v>
      </c>
      <c r="M155" s="15">
        <f>[1]Приложение!M885</f>
        <v>0</v>
      </c>
      <c r="N155" s="15">
        <f>[1]Приложение!N885</f>
        <v>0</v>
      </c>
      <c r="O155" s="15">
        <f>[1]Приложение!O885</f>
        <v>0</v>
      </c>
      <c r="P155" s="76"/>
      <c r="Q155" s="63"/>
      <c r="R155" s="66"/>
      <c r="S155" s="63"/>
      <c r="T155" s="63"/>
      <c r="U155" s="63"/>
      <c r="V155" s="63"/>
      <c r="W155" s="66"/>
      <c r="X155" s="66"/>
      <c r="Y155" s="63"/>
      <c r="Z155" s="63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HR155" s="5"/>
      <c r="HS155" s="5"/>
      <c r="HT155" s="5"/>
      <c r="HU155" s="5"/>
      <c r="HV155" s="5"/>
      <c r="HW155" s="5"/>
      <c r="HX155" s="5"/>
      <c r="HY155" s="5"/>
      <c r="HZ155" s="5"/>
      <c r="IA155" s="5"/>
      <c r="IB155" s="5"/>
      <c r="IC155" s="5"/>
      <c r="ID155" s="5"/>
      <c r="IE155" s="5"/>
      <c r="IF155" s="5"/>
      <c r="IG155" s="5"/>
      <c r="IH155" s="5"/>
      <c r="II155" s="5"/>
      <c r="IJ155" s="5"/>
      <c r="IK155" s="5"/>
      <c r="IL155" s="5"/>
      <c r="IM155" s="5"/>
      <c r="IN155" s="5"/>
      <c r="IO155" s="5"/>
      <c r="IP155" s="5"/>
      <c r="IQ155" s="5"/>
      <c r="IR155" s="5"/>
      <c r="IS155" s="5"/>
      <c r="IT155" s="5"/>
      <c r="IU155" s="5"/>
      <c r="IV155" s="5"/>
      <c r="IW155" s="5"/>
      <c r="IX155" s="5"/>
    </row>
  </sheetData>
  <autoFilter ref="A10:Z155"/>
  <mergeCells count="645">
    <mergeCell ref="T136:T140"/>
    <mergeCell ref="U136:U140"/>
    <mergeCell ref="V136:V140"/>
    <mergeCell ref="W136:W140"/>
    <mergeCell ref="X136:X140"/>
    <mergeCell ref="Y136:Y140"/>
    <mergeCell ref="Z136:Z140"/>
    <mergeCell ref="A141:A145"/>
    <mergeCell ref="B141:B145"/>
    <mergeCell ref="C141:C145"/>
    <mergeCell ref="D141:D145"/>
    <mergeCell ref="E141:E145"/>
    <mergeCell ref="P141:P145"/>
    <mergeCell ref="Q141:Q145"/>
    <mergeCell ref="R141:R145"/>
    <mergeCell ref="S141:S145"/>
    <mergeCell ref="T141:T145"/>
    <mergeCell ref="U141:U145"/>
    <mergeCell ref="V141:V145"/>
    <mergeCell ref="W141:W145"/>
    <mergeCell ref="X141:X145"/>
    <mergeCell ref="Y141:Y145"/>
    <mergeCell ref="Z141:Z145"/>
    <mergeCell ref="A136:A140"/>
    <mergeCell ref="B136:B140"/>
    <mergeCell ref="C136:C140"/>
    <mergeCell ref="D136:D140"/>
    <mergeCell ref="E136:E140"/>
    <mergeCell ref="P136:P140"/>
    <mergeCell ref="Q136:Q140"/>
    <mergeCell ref="R136:R140"/>
    <mergeCell ref="S136:S140"/>
    <mergeCell ref="T46:T48"/>
    <mergeCell ref="A49:B49"/>
    <mergeCell ref="A50:B50"/>
    <mergeCell ref="P126:P127"/>
    <mergeCell ref="Q126:Q127"/>
    <mergeCell ref="R126:R127"/>
    <mergeCell ref="S126:S127"/>
    <mergeCell ref="T126:T127"/>
    <mergeCell ref="T118:T120"/>
    <mergeCell ref="A116:B116"/>
    <mergeCell ref="A117:B117"/>
    <mergeCell ref="C118:C120"/>
    <mergeCell ref="D118:D120"/>
    <mergeCell ref="E118:E120"/>
    <mergeCell ref="P118:P120"/>
    <mergeCell ref="Q118:Q120"/>
    <mergeCell ref="U46:U48"/>
    <mergeCell ref="V46:V48"/>
    <mergeCell ref="W46:W48"/>
    <mergeCell ref="X46:X48"/>
    <mergeCell ref="Y46:Y48"/>
    <mergeCell ref="Z46:Z48"/>
    <mergeCell ref="A46:A48"/>
    <mergeCell ref="B46:B48"/>
    <mergeCell ref="C46:C48"/>
    <mergeCell ref="D46:D48"/>
    <mergeCell ref="E46:E48"/>
    <mergeCell ref="P46:P48"/>
    <mergeCell ref="Q46:Q48"/>
    <mergeCell ref="R46:R48"/>
    <mergeCell ref="S46:S48"/>
    <mergeCell ref="U40:U42"/>
    <mergeCell ref="V40:V42"/>
    <mergeCell ref="W40:W42"/>
    <mergeCell ref="X40:X42"/>
    <mergeCell ref="Y40:Y42"/>
    <mergeCell ref="Z40:Z42"/>
    <mergeCell ref="A43:A45"/>
    <mergeCell ref="B43:B45"/>
    <mergeCell ref="C43:C45"/>
    <mergeCell ref="D43:D45"/>
    <mergeCell ref="E43:E45"/>
    <mergeCell ref="P43:P45"/>
    <mergeCell ref="Q43:Q45"/>
    <mergeCell ref="R43:R45"/>
    <mergeCell ref="S43:S45"/>
    <mergeCell ref="T43:T45"/>
    <mergeCell ref="U43:U45"/>
    <mergeCell ref="V43:V45"/>
    <mergeCell ref="W43:W45"/>
    <mergeCell ref="X43:X45"/>
    <mergeCell ref="Y43:Y45"/>
    <mergeCell ref="Z43:Z45"/>
    <mergeCell ref="A40:A42"/>
    <mergeCell ref="B40:B42"/>
    <mergeCell ref="C40:C42"/>
    <mergeCell ref="D40:D42"/>
    <mergeCell ref="E40:E42"/>
    <mergeCell ref="P40:P42"/>
    <mergeCell ref="Q40:Q42"/>
    <mergeCell ref="R40:R42"/>
    <mergeCell ref="S40:S42"/>
    <mergeCell ref="T34:T36"/>
    <mergeCell ref="C34:C36"/>
    <mergeCell ref="D34:D36"/>
    <mergeCell ref="E34:E36"/>
    <mergeCell ref="P34:P36"/>
    <mergeCell ref="Q34:Q36"/>
    <mergeCell ref="R34:R36"/>
    <mergeCell ref="S34:S36"/>
    <mergeCell ref="T40:T42"/>
    <mergeCell ref="U34:U36"/>
    <mergeCell ref="V34:V36"/>
    <mergeCell ref="W34:W36"/>
    <mergeCell ref="X34:X36"/>
    <mergeCell ref="Y34:Y36"/>
    <mergeCell ref="Z34:Z36"/>
    <mergeCell ref="A37:A39"/>
    <mergeCell ref="B37:B39"/>
    <mergeCell ref="C37:C39"/>
    <mergeCell ref="D37:D39"/>
    <mergeCell ref="E37:E39"/>
    <mergeCell ref="P37:P39"/>
    <mergeCell ref="Q37:Q39"/>
    <mergeCell ref="R37:R39"/>
    <mergeCell ref="S37:S39"/>
    <mergeCell ref="T37:T39"/>
    <mergeCell ref="U37:U39"/>
    <mergeCell ref="V37:V39"/>
    <mergeCell ref="W37:W39"/>
    <mergeCell ref="X37:X39"/>
    <mergeCell ref="Y37:Y39"/>
    <mergeCell ref="Z37:Z39"/>
    <mergeCell ref="A34:A36"/>
    <mergeCell ref="B34:B36"/>
    <mergeCell ref="U28:U30"/>
    <mergeCell ref="V28:V30"/>
    <mergeCell ref="W28:W30"/>
    <mergeCell ref="X28:X30"/>
    <mergeCell ref="Y28:Y30"/>
    <mergeCell ref="Z28:Z30"/>
    <mergeCell ref="A31:A33"/>
    <mergeCell ref="B31:B33"/>
    <mergeCell ref="C31:C33"/>
    <mergeCell ref="D31:D33"/>
    <mergeCell ref="E31:E33"/>
    <mergeCell ref="P31:P33"/>
    <mergeCell ref="Q31:Q33"/>
    <mergeCell ref="R31:R33"/>
    <mergeCell ref="S31:S33"/>
    <mergeCell ref="T31:T33"/>
    <mergeCell ref="U31:U33"/>
    <mergeCell ref="V31:V33"/>
    <mergeCell ref="W31:W33"/>
    <mergeCell ref="X31:X33"/>
    <mergeCell ref="Y31:Y33"/>
    <mergeCell ref="Z31:Z33"/>
    <mergeCell ref="A28:A30"/>
    <mergeCell ref="B28:B30"/>
    <mergeCell ref="C28:C30"/>
    <mergeCell ref="D28:D30"/>
    <mergeCell ref="E28:E30"/>
    <mergeCell ref="P28:P30"/>
    <mergeCell ref="Q28:Q30"/>
    <mergeCell ref="R28:R30"/>
    <mergeCell ref="S28:S30"/>
    <mergeCell ref="T22:T24"/>
    <mergeCell ref="C22:C24"/>
    <mergeCell ref="D22:D24"/>
    <mergeCell ref="E22:E24"/>
    <mergeCell ref="P22:P24"/>
    <mergeCell ref="Q22:Q24"/>
    <mergeCell ref="R22:R24"/>
    <mergeCell ref="S22:S24"/>
    <mergeCell ref="T28:T30"/>
    <mergeCell ref="U22:U24"/>
    <mergeCell ref="V22:V24"/>
    <mergeCell ref="W22:W24"/>
    <mergeCell ref="X22:X24"/>
    <mergeCell ref="Y22:Y24"/>
    <mergeCell ref="Z22:Z24"/>
    <mergeCell ref="A25:A27"/>
    <mergeCell ref="B25:B27"/>
    <mergeCell ref="C25:C27"/>
    <mergeCell ref="D25:D27"/>
    <mergeCell ref="E25:E27"/>
    <mergeCell ref="P25:P27"/>
    <mergeCell ref="Q25:Q27"/>
    <mergeCell ref="R25:R27"/>
    <mergeCell ref="S25:S27"/>
    <mergeCell ref="T25:T27"/>
    <mergeCell ref="U25:U27"/>
    <mergeCell ref="V25:V27"/>
    <mergeCell ref="W25:W27"/>
    <mergeCell ref="X25:X27"/>
    <mergeCell ref="Y25:Y27"/>
    <mergeCell ref="Z25:Z27"/>
    <mergeCell ref="A22:A24"/>
    <mergeCell ref="B22:B24"/>
    <mergeCell ref="T16:T18"/>
    <mergeCell ref="U16:U18"/>
    <mergeCell ref="V16:V18"/>
    <mergeCell ref="W16:W18"/>
    <mergeCell ref="X16:X18"/>
    <mergeCell ref="Y16:Y18"/>
    <mergeCell ref="Z16:Z18"/>
    <mergeCell ref="A19:A21"/>
    <mergeCell ref="B19:B21"/>
    <mergeCell ref="C19:C21"/>
    <mergeCell ref="D19:D21"/>
    <mergeCell ref="E19:E21"/>
    <mergeCell ref="P19:P21"/>
    <mergeCell ref="Q19:Q21"/>
    <mergeCell ref="R19:R21"/>
    <mergeCell ref="S19:S21"/>
    <mergeCell ref="T19:T21"/>
    <mergeCell ref="U19:U21"/>
    <mergeCell ref="V19:V21"/>
    <mergeCell ref="W19:W21"/>
    <mergeCell ref="X19:X21"/>
    <mergeCell ref="Y19:Y21"/>
    <mergeCell ref="Z19:Z21"/>
    <mergeCell ref="A16:A18"/>
    <mergeCell ref="B16:B18"/>
    <mergeCell ref="C16:C18"/>
    <mergeCell ref="D16:D18"/>
    <mergeCell ref="E16:E18"/>
    <mergeCell ref="P16:P18"/>
    <mergeCell ref="Q16:Q18"/>
    <mergeCell ref="R16:R18"/>
    <mergeCell ref="S16:S18"/>
    <mergeCell ref="R13:R15"/>
    <mergeCell ref="S13:S15"/>
    <mergeCell ref="T13:T15"/>
    <mergeCell ref="U13:U15"/>
    <mergeCell ref="V13:V15"/>
    <mergeCell ref="W13:W15"/>
    <mergeCell ref="X13:X15"/>
    <mergeCell ref="Y13:Y15"/>
    <mergeCell ref="Z13:Z15"/>
    <mergeCell ref="A11:B11"/>
    <mergeCell ref="A12:B12"/>
    <mergeCell ref="A13:A15"/>
    <mergeCell ref="B13:B15"/>
    <mergeCell ref="C13:C15"/>
    <mergeCell ref="D13:D15"/>
    <mergeCell ref="E13:E15"/>
    <mergeCell ref="P13:P15"/>
    <mergeCell ref="Q13:Q15"/>
    <mergeCell ref="Z51:Z53"/>
    <mergeCell ref="A54:A56"/>
    <mergeCell ref="B54:B56"/>
    <mergeCell ref="C54:C56"/>
    <mergeCell ref="D54:D56"/>
    <mergeCell ref="E54:E56"/>
    <mergeCell ref="P54:P56"/>
    <mergeCell ref="Q54:Q56"/>
    <mergeCell ref="R54:R56"/>
    <mergeCell ref="S54:S56"/>
    <mergeCell ref="T54:T56"/>
    <mergeCell ref="U54:U56"/>
    <mergeCell ref="V54:V56"/>
    <mergeCell ref="W54:W56"/>
    <mergeCell ref="X54:X56"/>
    <mergeCell ref="Y54:Y56"/>
    <mergeCell ref="Z54:Z56"/>
    <mergeCell ref="A51:A53"/>
    <mergeCell ref="B51:B53"/>
    <mergeCell ref="C51:C53"/>
    <mergeCell ref="D51:D53"/>
    <mergeCell ref="E51:E53"/>
    <mergeCell ref="P51:P53"/>
    <mergeCell ref="Q51:Q53"/>
    <mergeCell ref="W126:W127"/>
    <mergeCell ref="X126:X127"/>
    <mergeCell ref="Y126:Y127"/>
    <mergeCell ref="Z126:Z127"/>
    <mergeCell ref="A125:A127"/>
    <mergeCell ref="B125:B127"/>
    <mergeCell ref="C125:C127"/>
    <mergeCell ref="D125:D127"/>
    <mergeCell ref="E125:E127"/>
    <mergeCell ref="W118:W120"/>
    <mergeCell ref="X118:X120"/>
    <mergeCell ref="Y118:Y120"/>
    <mergeCell ref="Z118:Z120"/>
    <mergeCell ref="A121:A124"/>
    <mergeCell ref="B121:B124"/>
    <mergeCell ref="C121:C124"/>
    <mergeCell ref="D121:D124"/>
    <mergeCell ref="E121:E124"/>
    <mergeCell ref="P121:P124"/>
    <mergeCell ref="Q121:Q124"/>
    <mergeCell ref="R121:R124"/>
    <mergeCell ref="S121:S124"/>
    <mergeCell ref="T121:T124"/>
    <mergeCell ref="U121:U124"/>
    <mergeCell ref="V121:V124"/>
    <mergeCell ref="W121:W124"/>
    <mergeCell ref="X121:X124"/>
    <mergeCell ref="Y121:Y124"/>
    <mergeCell ref="Z121:Z124"/>
    <mergeCell ref="A118:A120"/>
    <mergeCell ref="B118:B120"/>
    <mergeCell ref="W113:W115"/>
    <mergeCell ref="X113:X115"/>
    <mergeCell ref="Y113:Y115"/>
    <mergeCell ref="Z113:Z115"/>
    <mergeCell ref="A110:A112"/>
    <mergeCell ref="B110:B112"/>
    <mergeCell ref="C110:C112"/>
    <mergeCell ref="D110:D112"/>
    <mergeCell ref="E110:E112"/>
    <mergeCell ref="P110:P112"/>
    <mergeCell ref="Q110:Q112"/>
    <mergeCell ref="R110:R112"/>
    <mergeCell ref="S110:S112"/>
    <mergeCell ref="W110:W112"/>
    <mergeCell ref="X110:X112"/>
    <mergeCell ref="Y110:Y112"/>
    <mergeCell ref="Z110:Z112"/>
    <mergeCell ref="T110:T112"/>
    <mergeCell ref="U110:U112"/>
    <mergeCell ref="V110:V112"/>
    <mergeCell ref="T113:T115"/>
    <mergeCell ref="U113:U115"/>
    <mergeCell ref="V113:V115"/>
    <mergeCell ref="V89:V91"/>
    <mergeCell ref="W89:W91"/>
    <mergeCell ref="X89:X91"/>
    <mergeCell ref="Y89:Y91"/>
    <mergeCell ref="E89:E91"/>
    <mergeCell ref="Z89:Z91"/>
    <mergeCell ref="X77:X79"/>
    <mergeCell ref="Y77:Y79"/>
    <mergeCell ref="Z77:Z79"/>
    <mergeCell ref="T80:T83"/>
    <mergeCell ref="U80:U83"/>
    <mergeCell ref="V80:V83"/>
    <mergeCell ref="W80:W83"/>
    <mergeCell ref="X80:X83"/>
    <mergeCell ref="Y80:Y83"/>
    <mergeCell ref="Z80:Z83"/>
    <mergeCell ref="X86:X88"/>
    <mergeCell ref="Y86:Y88"/>
    <mergeCell ref="Z86:Z88"/>
    <mergeCell ref="P89:P91"/>
    <mergeCell ref="T77:T79"/>
    <mergeCell ref="T86:T88"/>
    <mergeCell ref="U86:U88"/>
    <mergeCell ref="A80:A83"/>
    <mergeCell ref="B80:B83"/>
    <mergeCell ref="C80:C83"/>
    <mergeCell ref="D80:D83"/>
    <mergeCell ref="E80:E83"/>
    <mergeCell ref="P80:P83"/>
    <mergeCell ref="Q80:Q83"/>
    <mergeCell ref="R80:R83"/>
    <mergeCell ref="S80:S83"/>
    <mergeCell ref="C77:C79"/>
    <mergeCell ref="D77:D79"/>
    <mergeCell ref="X71:X73"/>
    <mergeCell ref="Y71:Y73"/>
    <mergeCell ref="Z71:Z73"/>
    <mergeCell ref="A74:A76"/>
    <mergeCell ref="B74:B76"/>
    <mergeCell ref="C74:C76"/>
    <mergeCell ref="D74:D76"/>
    <mergeCell ref="E74:E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S77:S79"/>
    <mergeCell ref="Q71:Q73"/>
    <mergeCell ref="R71:R73"/>
    <mergeCell ref="S71:S73"/>
    <mergeCell ref="A133:A135"/>
    <mergeCell ref="B133:B135"/>
    <mergeCell ref="C133:C135"/>
    <mergeCell ref="T71:T73"/>
    <mergeCell ref="T130:T132"/>
    <mergeCell ref="A98:A100"/>
    <mergeCell ref="B98:B100"/>
    <mergeCell ref="C98:C100"/>
    <mergeCell ref="D98:D100"/>
    <mergeCell ref="E98:E100"/>
    <mergeCell ref="A101:A103"/>
    <mergeCell ref="B101:B103"/>
    <mergeCell ref="C101:C103"/>
    <mergeCell ref="D101:D103"/>
    <mergeCell ref="E101:E103"/>
    <mergeCell ref="A104:A106"/>
    <mergeCell ref="B104:B106"/>
    <mergeCell ref="C104:C106"/>
    <mergeCell ref="D104:D106"/>
    <mergeCell ref="A77:A79"/>
    <mergeCell ref="B77:B79"/>
    <mergeCell ref="A92:A94"/>
    <mergeCell ref="B92:B94"/>
    <mergeCell ref="U71:U73"/>
    <mergeCell ref="V71:V73"/>
    <mergeCell ref="W71:W73"/>
    <mergeCell ref="S86:S88"/>
    <mergeCell ref="C86:C88"/>
    <mergeCell ref="P86:P88"/>
    <mergeCell ref="Q86:Q88"/>
    <mergeCell ref="S92:S94"/>
    <mergeCell ref="E92:E94"/>
    <mergeCell ref="P92:P94"/>
    <mergeCell ref="Q92:Q94"/>
    <mergeCell ref="R92:R94"/>
    <mergeCell ref="U77:U79"/>
    <mergeCell ref="V77:V79"/>
    <mergeCell ref="W77:W79"/>
    <mergeCell ref="Q89:Q91"/>
    <mergeCell ref="R89:R91"/>
    <mergeCell ref="S89:S91"/>
    <mergeCell ref="E77:E79"/>
    <mergeCell ref="P77:P79"/>
    <mergeCell ref="R77:R79"/>
    <mergeCell ref="V86:V88"/>
    <mergeCell ref="W86:W88"/>
    <mergeCell ref="U92:U94"/>
    <mergeCell ref="W130:W132"/>
    <mergeCell ref="X130:X132"/>
    <mergeCell ref="Y130:Y132"/>
    <mergeCell ref="Z130:Z132"/>
    <mergeCell ref="A130:A132"/>
    <mergeCell ref="B130:B132"/>
    <mergeCell ref="C130:C132"/>
    <mergeCell ref="D130:D132"/>
    <mergeCell ref="E130:E132"/>
    <mergeCell ref="P130:P132"/>
    <mergeCell ref="Q130:Q132"/>
    <mergeCell ref="R130:R132"/>
    <mergeCell ref="S130:S132"/>
    <mergeCell ref="A60:B60"/>
    <mergeCell ref="A61:B61"/>
    <mergeCell ref="A62:A64"/>
    <mergeCell ref="B62:B64"/>
    <mergeCell ref="C62:C64"/>
    <mergeCell ref="R86:R88"/>
    <mergeCell ref="D62:D64"/>
    <mergeCell ref="E62:E64"/>
    <mergeCell ref="A68:A70"/>
    <mergeCell ref="B68:B70"/>
    <mergeCell ref="A84:B84"/>
    <mergeCell ref="A85:B85"/>
    <mergeCell ref="A86:A88"/>
    <mergeCell ref="P68:P70"/>
    <mergeCell ref="Q68:Q70"/>
    <mergeCell ref="R68:R70"/>
    <mergeCell ref="A71:A73"/>
    <mergeCell ref="B71:B73"/>
    <mergeCell ref="C71:C73"/>
    <mergeCell ref="D71:D73"/>
    <mergeCell ref="B86:B88"/>
    <mergeCell ref="Q77:Q79"/>
    <mergeCell ref="E71:E73"/>
    <mergeCell ref="P71:P73"/>
    <mergeCell ref="Q1:Z1"/>
    <mergeCell ref="S8:Z8"/>
    <mergeCell ref="A2:Z2"/>
    <mergeCell ref="A3:Z3"/>
    <mergeCell ref="A4:Z4"/>
    <mergeCell ref="A6:A9"/>
    <mergeCell ref="R7:Z7"/>
    <mergeCell ref="R8:R9"/>
    <mergeCell ref="B6:B9"/>
    <mergeCell ref="F6:O6"/>
    <mergeCell ref="G7:O7"/>
    <mergeCell ref="H8:O8"/>
    <mergeCell ref="D7:D9"/>
    <mergeCell ref="Q7:Q9"/>
    <mergeCell ref="C7:C9"/>
    <mergeCell ref="C6:D6"/>
    <mergeCell ref="V62:V64"/>
    <mergeCell ref="W62:W64"/>
    <mergeCell ref="X62:X64"/>
    <mergeCell ref="R62:R64"/>
    <mergeCell ref="S62:S64"/>
    <mergeCell ref="E6:E9"/>
    <mergeCell ref="G8:G9"/>
    <mergeCell ref="P7:P9"/>
    <mergeCell ref="P6:Z6"/>
    <mergeCell ref="F7:F9"/>
    <mergeCell ref="P62:P64"/>
    <mergeCell ref="Q62:Q64"/>
    <mergeCell ref="Y62:Y64"/>
    <mergeCell ref="Z62:Z64"/>
    <mergeCell ref="T62:T64"/>
    <mergeCell ref="U62:U64"/>
    <mergeCell ref="R51:R53"/>
    <mergeCell ref="S51:S53"/>
    <mergeCell ref="T51:T53"/>
    <mergeCell ref="U51:U53"/>
    <mergeCell ref="V51:V53"/>
    <mergeCell ref="W51:W53"/>
    <mergeCell ref="X51:X53"/>
    <mergeCell ref="Y51:Y53"/>
    <mergeCell ref="X65:X67"/>
    <mergeCell ref="Y65:Y67"/>
    <mergeCell ref="Z65:Z67"/>
    <mergeCell ref="X68:X70"/>
    <mergeCell ref="Y68:Y70"/>
    <mergeCell ref="Z68:Z70"/>
    <mergeCell ref="U65:U67"/>
    <mergeCell ref="V65:V67"/>
    <mergeCell ref="W65:W67"/>
    <mergeCell ref="U68:U70"/>
    <mergeCell ref="V68:V70"/>
    <mergeCell ref="W68:W70"/>
    <mergeCell ref="S68:S70"/>
    <mergeCell ref="T68:T70"/>
    <mergeCell ref="A65:A67"/>
    <mergeCell ref="B65:B67"/>
    <mergeCell ref="C65:C67"/>
    <mergeCell ref="D65:D67"/>
    <mergeCell ref="E65:E67"/>
    <mergeCell ref="P65:P67"/>
    <mergeCell ref="Q65:Q67"/>
    <mergeCell ref="R65:R67"/>
    <mergeCell ref="S65:S67"/>
    <mergeCell ref="T65:T67"/>
    <mergeCell ref="C68:C70"/>
    <mergeCell ref="D68:D70"/>
    <mergeCell ref="E68:E70"/>
    <mergeCell ref="V92:V94"/>
    <mergeCell ref="W92:W94"/>
    <mergeCell ref="X92:X94"/>
    <mergeCell ref="Y92:Y94"/>
    <mergeCell ref="Z92:Z94"/>
    <mergeCell ref="E107:E109"/>
    <mergeCell ref="C95:C97"/>
    <mergeCell ref="D95:D97"/>
    <mergeCell ref="E95:E97"/>
    <mergeCell ref="P95:P109"/>
    <mergeCell ref="W95:W109"/>
    <mergeCell ref="X95:X109"/>
    <mergeCell ref="Y95:Y109"/>
    <mergeCell ref="Z95:Z109"/>
    <mergeCell ref="E104:E106"/>
    <mergeCell ref="T92:T94"/>
    <mergeCell ref="C92:C94"/>
    <mergeCell ref="D92:D94"/>
    <mergeCell ref="U95:U109"/>
    <mergeCell ref="V95:V109"/>
    <mergeCell ref="D86:D88"/>
    <mergeCell ref="E86:E88"/>
    <mergeCell ref="A89:A91"/>
    <mergeCell ref="B89:B91"/>
    <mergeCell ref="C89:C91"/>
    <mergeCell ref="D89:D91"/>
    <mergeCell ref="T89:T91"/>
    <mergeCell ref="U89:U91"/>
    <mergeCell ref="R133:R135"/>
    <mergeCell ref="S133:S135"/>
    <mergeCell ref="T133:T135"/>
    <mergeCell ref="U133:U135"/>
    <mergeCell ref="U130:U132"/>
    <mergeCell ref="A95:A97"/>
    <mergeCell ref="B95:B97"/>
    <mergeCell ref="R118:R120"/>
    <mergeCell ref="S118:S120"/>
    <mergeCell ref="U118:U120"/>
    <mergeCell ref="U126:U127"/>
    <mergeCell ref="V133:V135"/>
    <mergeCell ref="A128:B128"/>
    <mergeCell ref="A129:B129"/>
    <mergeCell ref="S95:S109"/>
    <mergeCell ref="T95:T109"/>
    <mergeCell ref="Q95:Q109"/>
    <mergeCell ref="R95:R109"/>
    <mergeCell ref="A113:A115"/>
    <mergeCell ref="B113:B115"/>
    <mergeCell ref="C113:C115"/>
    <mergeCell ref="D113:D115"/>
    <mergeCell ref="E113:E115"/>
    <mergeCell ref="P113:P115"/>
    <mergeCell ref="Q113:Q115"/>
    <mergeCell ref="R113:R115"/>
    <mergeCell ref="S113:S115"/>
    <mergeCell ref="A107:A109"/>
    <mergeCell ref="B107:B109"/>
    <mergeCell ref="C107:C109"/>
    <mergeCell ref="D107:D109"/>
    <mergeCell ref="V130:V132"/>
    <mergeCell ref="V118:V120"/>
    <mergeCell ref="V126:V127"/>
    <mergeCell ref="W133:W135"/>
    <mergeCell ref="X133:X135"/>
    <mergeCell ref="Y133:Y135"/>
    <mergeCell ref="Z133:Z135"/>
    <mergeCell ref="A146:A150"/>
    <mergeCell ref="B146:B150"/>
    <mergeCell ref="C146:C150"/>
    <mergeCell ref="D146:D150"/>
    <mergeCell ref="E146:E150"/>
    <mergeCell ref="P146:P150"/>
    <mergeCell ref="Q146:Q150"/>
    <mergeCell ref="R146:R150"/>
    <mergeCell ref="S146:S150"/>
    <mergeCell ref="T146:T150"/>
    <mergeCell ref="U146:U150"/>
    <mergeCell ref="V146:V150"/>
    <mergeCell ref="W146:W150"/>
    <mergeCell ref="X146:X150"/>
    <mergeCell ref="Y146:Y150"/>
    <mergeCell ref="Z146:Z150"/>
    <mergeCell ref="D133:D135"/>
    <mergeCell ref="E133:E135"/>
    <mergeCell ref="P133:P135"/>
    <mergeCell ref="Q133:Q135"/>
    <mergeCell ref="T151:T155"/>
    <mergeCell ref="U151:U155"/>
    <mergeCell ref="V151:V155"/>
    <mergeCell ref="W151:W155"/>
    <mergeCell ref="X151:X155"/>
    <mergeCell ref="Y151:Y155"/>
    <mergeCell ref="Z151:Z155"/>
    <mergeCell ref="A151:A155"/>
    <mergeCell ref="B151:B155"/>
    <mergeCell ref="C151:C155"/>
    <mergeCell ref="D151:D155"/>
    <mergeCell ref="E151:E155"/>
    <mergeCell ref="P151:P155"/>
    <mergeCell ref="Q151:Q155"/>
    <mergeCell ref="R151:R155"/>
    <mergeCell ref="S151:S155"/>
    <mergeCell ref="T57:T59"/>
    <mergeCell ref="U57:U59"/>
    <mergeCell ref="V57:V59"/>
    <mergeCell ref="W57:W59"/>
    <mergeCell ref="X57:X59"/>
    <mergeCell ref="Y57:Y59"/>
    <mergeCell ref="Z57:Z59"/>
    <mergeCell ref="A57:A59"/>
    <mergeCell ref="B57:B59"/>
    <mergeCell ref="C57:C59"/>
    <mergeCell ref="D57:D59"/>
    <mergeCell ref="E57:E59"/>
    <mergeCell ref="P57:P59"/>
    <mergeCell ref="Q57:Q59"/>
    <mergeCell ref="R57:R59"/>
    <mergeCell ref="S57:S59"/>
  </mergeCells>
  <phoneticPr fontId="4" type="noConversion"/>
  <pageMargins left="0.31496062992125984" right="0.31496062992125984" top="0.74803149606299213" bottom="0.74803149606299213" header="0.31496062992125984" footer="0.31496062992125984"/>
  <pageSetup paperSize="9" scale="30" fitToHeight="0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V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Аналитикам</vt:lpstr>
      <vt:lpstr>Лист1</vt:lpstr>
      <vt:lpstr>Аналитикам!Заголовки_для_печати</vt:lpstr>
      <vt:lpstr>Аналитикам!Область_печати</vt:lpstr>
    </vt:vector>
  </TitlesOfParts>
  <Company>Министерство финансов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Stavkina</dc:creator>
  <cp:lastModifiedBy>Nabor_text</cp:lastModifiedBy>
  <cp:lastPrinted>2024-11-28T08:49:06Z</cp:lastPrinted>
  <dcterms:created xsi:type="dcterms:W3CDTF">2013-05-13T01:44:39Z</dcterms:created>
  <dcterms:modified xsi:type="dcterms:W3CDTF">2024-11-28T08:50:07Z</dcterms:modified>
</cp:coreProperties>
</file>